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Desktop/Content/CIR expenses/"/>
    </mc:Choice>
  </mc:AlternateContent>
  <xr:revisionPtr revIDLastSave="0" documentId="8_{68D1B4D9-E152-41C4-9BC1-07FE9D1389B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expenses'!$A$1:$E$24</definedName>
    <definedName name="_xlnm.Print_Area" localSheetId="2">'Gifts and Benefits'!$A$1:$E$50</definedName>
    <definedName name="_xlnm.Print_Area" localSheetId="1">Hospitality!$A$1:$F$23</definedName>
    <definedName name="_xlnm.Print_Area" localSheetId="0">Travel!$A$1:$D$138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30" i="1"/>
  <c r="B27" i="1"/>
  <c r="B31" i="1"/>
  <c r="B58" i="1"/>
  <c r="B89" i="1"/>
  <c r="B66" i="1"/>
  <c r="B12" i="1"/>
  <c r="B46" i="1"/>
  <c r="B91" i="1"/>
  <c r="B18" i="1"/>
  <c r="B11" i="1"/>
  <c r="B14" i="1"/>
  <c r="B11" i="3"/>
  <c r="B10" i="3"/>
  <c r="B95" i="1"/>
  <c r="B96" i="1"/>
  <c r="B28" i="1"/>
  <c r="B17" i="1" l="1"/>
  <c r="B81" i="1"/>
  <c r="B84" i="1"/>
  <c r="B55" i="1"/>
  <c r="B10" i="1"/>
  <c r="B61" i="1"/>
  <c r="B60" i="1"/>
  <c r="B59" i="1"/>
  <c r="B83" i="1" l="1"/>
  <c r="B29" i="1"/>
  <c r="B86" i="1"/>
  <c r="B93" i="1"/>
  <c r="B68" i="1"/>
  <c r="B92" i="1"/>
  <c r="B87" i="1"/>
  <c r="B85" i="1"/>
  <c r="B82" i="1"/>
  <c r="B62" i="1"/>
  <c r="B24" i="1"/>
  <c r="B80" i="1"/>
  <c r="B78" i="1"/>
  <c r="B77" i="1"/>
  <c r="B71" i="1"/>
  <c r="B57" i="1"/>
  <c r="B76" i="1"/>
  <c r="B72" i="1"/>
  <c r="B69" i="1"/>
  <c r="B21" i="1"/>
  <c r="B54" i="1"/>
  <c r="B56" i="1"/>
  <c r="B20" i="1"/>
  <c r="B19" i="1"/>
  <c r="B51" i="1"/>
  <c r="B49" i="1"/>
  <c r="B47" i="1"/>
  <c r="B128" i="1" l="1"/>
  <c r="B108" i="1"/>
  <c r="B41" i="1"/>
  <c r="B16" i="2"/>
  <c r="C40" i="4"/>
  <c r="D40" i="4"/>
  <c r="B15" i="3"/>
  <c r="B3" i="2" l="1"/>
  <c r="B4" i="3" l="1"/>
  <c r="B3" i="3"/>
  <c r="B2" i="3"/>
  <c r="B4" i="4"/>
  <c r="B3" i="4"/>
  <c r="B2" i="4"/>
  <c r="B4" i="2"/>
  <c r="B2" i="2"/>
  <c r="B130" i="1" l="1"/>
</calcChain>
</file>

<file path=xl/sharedStrings.xml><?xml version="1.0" encoding="utf-8"?>
<sst xmlns="http://schemas.openxmlformats.org/spreadsheetml/2006/main" count="401" uniqueCount="241">
  <si>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</si>
  <si>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</si>
  <si>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</si>
  <si>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</si>
  <si>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</si>
  <si>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</si>
  <si>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</si>
  <si>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</si>
  <si>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</si>
  <si>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</si>
  <si>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</si>
  <si>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</si>
  <si>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</si>
  <si>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</si>
  <si>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</si>
  <si>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</si>
  <si>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</si>
  <si>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</si>
  <si>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</si>
  <si>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</si>
  <si>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>** Include eg phone and data costs, subscriptions, membership fees, conference fees,  professional development costs, books and anything else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</si>
  <si>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</si>
  <si>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</si>
  <si>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</si>
  <si>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</si>
  <si>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Notes</t>
  </si>
  <si>
    <t>Date(s)</t>
  </si>
  <si>
    <t>*** e.g. subscription part of employment agreement, development as agreed with SSC</t>
  </si>
  <si>
    <t>Comment / explanation ***</t>
  </si>
  <si>
    <t>Cost (NZ$)
(exc GST / inc GST)***</t>
  </si>
  <si>
    <t>Cost ($)
(exc GST / inc GST)***</t>
  </si>
  <si>
    <t xml:space="preserve">Notes </t>
  </si>
  <si>
    <t>* Headings on following tabs will pre populate with what you enter on this tab</t>
  </si>
  <si>
    <t>*** Delete what's inapplicable.  Be consistent - all GST exclusive or all GST inclusive</t>
  </si>
  <si>
    <t>Insert additional rows as needed</t>
  </si>
  <si>
    <t>Offered by 
(who made the offer?)</t>
  </si>
  <si>
    <t>Nature ***</t>
  </si>
  <si>
    <t>Cost ($)****
(exc GST / inc GST)</t>
  </si>
  <si>
    <t>International Travel (including  travel within NZ at beginning and end of overseas trip)**</t>
  </si>
  <si>
    <t>** Group expenditure relating to each overseas trip</t>
  </si>
  <si>
    <t>Cost ($)
(exc GST / inc GST)**</t>
  </si>
  <si>
    <t>** Delete what's inapplicable.  Be consistent - all GST exclusive or all GST inclusive</t>
  </si>
  <si>
    <t>Description ** (e.g. event tickets,  etc)</t>
  </si>
  <si>
    <t>Sub totals and totals will appear automatically once you put information in rows above.</t>
  </si>
  <si>
    <t>Mark clearly if there is no information to disclose.</t>
  </si>
  <si>
    <t>Hospitality</t>
  </si>
  <si>
    <t>Gifts and Benefits over $50 annual value**</t>
  </si>
  <si>
    <t>** All gifts, invitations to events and other hospitality, of $50 or more in total value per year, offered to the CE by people external to the organisation</t>
  </si>
  <si>
    <t>Estimated value (NZ$)
(exc GST / inc GST)***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</si>
  <si>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</si>
  <si>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</si>
  <si>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</si>
  <si>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</si>
  <si>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</si>
  <si>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</si>
  <si>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</si>
  <si>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</si>
  <si>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</si>
  <si>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</si>
  <si>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</si>
  <si>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**** Please include sufficient information to explain the trip and its costs including destination and duration.</t>
  </si>
  <si>
    <t>All hospitality expenses provided by the CE in the context of his/her job to anyone external to the Public Service or statutory Crown entities.</t>
  </si>
  <si>
    <t>Include items such as  invitations to functions and events, event tickets, gifts from overseas counterparts and commercial organisations (including that accepted by immediate family members).</t>
  </si>
  <si>
    <t>Comments</t>
  </si>
  <si>
    <t>A one-off offer of something worth $25 is not included, but if the offer is made more than once a year, it should be disclosed.</t>
  </si>
  <si>
    <t>Third parties include people and organisations external to the public service or statutory Crown entities.</t>
  </si>
  <si>
    <t>Domestic Travel (within NZ, including travel to and from local airport)</t>
  </si>
  <si>
    <t xml:space="preserve"> </t>
  </si>
  <si>
    <t>Inland Revenue</t>
  </si>
  <si>
    <t>Naomi Ferguson</t>
  </si>
  <si>
    <t>No information to disclose</t>
  </si>
  <si>
    <t>Dinner</t>
  </si>
  <si>
    <t>Microsoft</t>
  </si>
  <si>
    <t>Book - The Big Little Beach Book</t>
  </si>
  <si>
    <t>CPA Australia</t>
  </si>
  <si>
    <t>Microsoft NZ</t>
  </si>
  <si>
    <t>Accenture</t>
  </si>
  <si>
    <t>Visiting Accenture offices in Manila</t>
  </si>
  <si>
    <t>Dinner in Wellington</t>
  </si>
  <si>
    <t>Dinner in Manila</t>
  </si>
  <si>
    <t>Pen set, business card holder, small tea bag dish</t>
  </si>
  <si>
    <t>Leather satchel, yellow tea towels</t>
  </si>
  <si>
    <t>Philippines Bureau of Internal Revenue</t>
  </si>
  <si>
    <t>Brown box - medal statue</t>
  </si>
  <si>
    <t>Indonesia Directorate General of Taxes</t>
  </si>
  <si>
    <t xml:space="preserve">Mongolia General Department of Taxation </t>
  </si>
  <si>
    <t>47th SGATAR gift exchange</t>
  </si>
  <si>
    <t>Hand painted aboriginal print wooden frame</t>
  </si>
  <si>
    <t>Australian Taxation Office</t>
  </si>
  <si>
    <t>Blue velvet box - commerative coin</t>
  </si>
  <si>
    <t>Inland Revenue Board of Malaysia</t>
  </si>
  <si>
    <t>General Department of Taxation - Cambodia - 47th SGATAR</t>
  </si>
  <si>
    <t>Wooden sculpture and lemongrass lip blam</t>
  </si>
  <si>
    <t>Bill English</t>
  </si>
  <si>
    <t>Attending Bill English valedictory speech</t>
  </si>
  <si>
    <t>Bus tour of Ottawa highlights</t>
  </si>
  <si>
    <t>Canada Revenue Agency</t>
  </si>
  <si>
    <t>Wooden Whales tooth</t>
  </si>
  <si>
    <t>Fijian Revenue Delegation</t>
  </si>
  <si>
    <t>Fiji visiting New Zealand</t>
  </si>
  <si>
    <t>FAST Enterprises</t>
  </si>
  <si>
    <t>Meeting with FAST partners</t>
  </si>
  <si>
    <t>Estimated values include GST</t>
  </si>
  <si>
    <t>14.7.17</t>
  </si>
  <si>
    <t>Speaker: Ernst &amp; Young Event, Auckland</t>
  </si>
  <si>
    <t>Taxi</t>
  </si>
  <si>
    <t>Taxi from airport</t>
  </si>
  <si>
    <t>25.7.17</t>
  </si>
  <si>
    <t>Flight Wellington to London</t>
  </si>
  <si>
    <t>Flight Oslo to Wellington</t>
  </si>
  <si>
    <t>Office visit: New Plymouth</t>
  </si>
  <si>
    <t>Return flights from Wellington</t>
  </si>
  <si>
    <t>15.8.17</t>
  </si>
  <si>
    <t>Stella Awards</t>
  </si>
  <si>
    <t>Taxi to James Cook Hotel</t>
  </si>
  <si>
    <t>Design Review Workshop</t>
  </si>
  <si>
    <t>Taxi to Te Papa</t>
  </si>
  <si>
    <t>Travel Charge</t>
  </si>
  <si>
    <t>31.8.17</t>
  </si>
  <si>
    <t>Taxi to and from airport</t>
  </si>
  <si>
    <t>Flights</t>
  </si>
  <si>
    <t>Return flights to Philippines</t>
  </si>
  <si>
    <t>T-Shirts for cultural item</t>
  </si>
  <si>
    <t>PSA Conference panel member</t>
  </si>
  <si>
    <t>13.10.17</t>
  </si>
  <si>
    <t>Visit Eagle Tech Building in Wellington</t>
  </si>
  <si>
    <t>Taxi to Eagle Tech House</t>
  </si>
  <si>
    <t>Office visit: Manukau</t>
  </si>
  <si>
    <t>2 x taxis</t>
  </si>
  <si>
    <t>Speaker at Angels Association Conference, IDS Insight Session &amp; Auckland Women in the Public Sector Summit (Auckland and Waiheke)</t>
  </si>
  <si>
    <t>Return flights Wellington to Auckland</t>
  </si>
  <si>
    <t>Accommodation</t>
  </si>
  <si>
    <t>Auckland Accommodation</t>
  </si>
  <si>
    <t>18.10.17</t>
  </si>
  <si>
    <t>Deloitte Conference - speaker &amp; Office visit: Maukau</t>
  </si>
  <si>
    <t>Meals</t>
  </si>
  <si>
    <t>Accomodation</t>
  </si>
  <si>
    <t>26.10.17-30.10.17</t>
  </si>
  <si>
    <t>Airport hotel bus</t>
  </si>
  <si>
    <t>31.10.17</t>
  </si>
  <si>
    <t>Meeting at Parliament</t>
  </si>
  <si>
    <t>Speaker: IDC Insights Session Wellington</t>
  </si>
  <si>
    <t>Taxi Railway Station to Oriental Bay</t>
  </si>
  <si>
    <t>Taxi Airport to Khandallah</t>
  </si>
  <si>
    <t>Taxis x 5</t>
  </si>
  <si>
    <t>Trainfares x 3</t>
  </si>
  <si>
    <t>Taxis x 2</t>
  </si>
  <si>
    <t>Taxis x 4</t>
  </si>
  <si>
    <t>15.11.17</t>
  </si>
  <si>
    <t>Dinner with Public Sector CEs &amp; Microsoft delegaton</t>
  </si>
  <si>
    <t>Taxi Railway station to Vivian St</t>
  </si>
  <si>
    <t>Office visit: Takapuna</t>
  </si>
  <si>
    <t>Flights Wellington/Auckland</t>
  </si>
  <si>
    <t>Regional People Leaders Forum - Speaker - Christchurch</t>
  </si>
  <si>
    <t>Flights Wellington/Christchurch</t>
  </si>
  <si>
    <t>Regional People Leaders Forum - Speaker - Hamilton</t>
  </si>
  <si>
    <t>Flights Wellington/Hamilton</t>
  </si>
  <si>
    <t>Acommodation</t>
  </si>
  <si>
    <t>Return Ferry to Waiheke</t>
  </si>
  <si>
    <t>26.11.17-1.12.17</t>
  </si>
  <si>
    <t>Taxi x 2</t>
  </si>
  <si>
    <t>Meal</t>
  </si>
  <si>
    <t>Taxis x 6</t>
  </si>
  <si>
    <t>Regional People Leaders Forum - Speaker - Auckland</t>
  </si>
  <si>
    <t>Transport costs</t>
  </si>
  <si>
    <t>International Fiscal Association Conference Queenstown</t>
  </si>
  <si>
    <t>Breakfast</t>
  </si>
  <si>
    <t>Interview panel for Diversity Works CE - Auckland</t>
  </si>
  <si>
    <t>9.2.18</t>
  </si>
  <si>
    <t>KPMG Breakfast event - speaker &amp; office visit: Whangarei</t>
  </si>
  <si>
    <t>24.10.17-27.10.17</t>
  </si>
  <si>
    <t>8.3.18</t>
  </si>
  <si>
    <t>13.5.18-21.5.18</t>
  </si>
  <si>
    <t>3.4.18</t>
  </si>
  <si>
    <t>12.4.18</t>
  </si>
  <si>
    <t>Office visit Gisborne</t>
  </si>
  <si>
    <t>Flights Wellington/Gisborne</t>
  </si>
  <si>
    <t>21.3.18</t>
  </si>
  <si>
    <t>Taxi Railway Station to Manners St</t>
  </si>
  <si>
    <t>Visas</t>
  </si>
  <si>
    <t>31.5.18</t>
  </si>
  <si>
    <t>4.12.17</t>
  </si>
  <si>
    <t>6.12.17</t>
  </si>
  <si>
    <t>7.12.17</t>
  </si>
  <si>
    <t>2.3.18-3.3.18</t>
  </si>
  <si>
    <t>21.2.18-22.2.18</t>
  </si>
  <si>
    <t>16.11.17-17.11.17</t>
  </si>
  <si>
    <t>1.11.17-5.11.17</t>
  </si>
  <si>
    <t>24.10.17-26.10.17</t>
  </si>
  <si>
    <t>Return flights Wellington to Sydney/Canberra</t>
  </si>
  <si>
    <t>CPA Conference Auckland - speaker</t>
  </si>
  <si>
    <t>Trainfares Oslo</t>
  </si>
  <si>
    <t>Accomodation Oslo</t>
  </si>
  <si>
    <t>Meeting at Beehive</t>
  </si>
  <si>
    <t>Taxi Airport to Beehive</t>
  </si>
  <si>
    <t>27.6.18</t>
  </si>
  <si>
    <t>Flight Wellington/Auckland</t>
  </si>
  <si>
    <t>Flight Wellington/Tauranga</t>
  </si>
  <si>
    <t>Office visit Tauranga 4 July</t>
  </si>
  <si>
    <t>Office visit Auckland 25 July</t>
  </si>
  <si>
    <t>Gifts for SGATAR delegates</t>
  </si>
  <si>
    <t>Philippines</t>
  </si>
  <si>
    <t>18.5.18</t>
  </si>
  <si>
    <t xml:space="preserve">Gifts for CIAT conference </t>
  </si>
  <si>
    <t>Ottawa Canada</t>
  </si>
  <si>
    <t>21.6.18</t>
  </si>
  <si>
    <t>Office equipment</t>
  </si>
  <si>
    <t>iPad cover</t>
  </si>
  <si>
    <t>Taxis x 3</t>
  </si>
  <si>
    <t>15.12.17</t>
  </si>
  <si>
    <t>Minister's meeting</t>
  </si>
  <si>
    <t>Taxi from Minister's meeting to ELT meeting</t>
  </si>
  <si>
    <t>Office visit Hamilton Te Rapa</t>
  </si>
  <si>
    <t>24.5.18</t>
  </si>
  <si>
    <t>Office visit Christchurch</t>
  </si>
  <si>
    <t>Flight Wellington/Christchurch</t>
  </si>
  <si>
    <t>31.7.17</t>
  </si>
  <si>
    <t>Office visit: Christchurch</t>
  </si>
  <si>
    <t>Taxi airport to Chch south</t>
  </si>
  <si>
    <t>4 x taxis</t>
  </si>
  <si>
    <t>1.7.17</t>
  </si>
  <si>
    <t>Meeting at SSC</t>
  </si>
  <si>
    <t>Taxi airport to SSC</t>
  </si>
  <si>
    <t>Taxi airport to Parliament</t>
  </si>
  <si>
    <t>Taxis x7</t>
  </si>
  <si>
    <t>OECD Forum on Tax Administration - Oslo Norway &amp; meetings with HM Revenue &amp; Customs UK</t>
  </si>
  <si>
    <t>Flights Wellington/Toronto/Denver/Wellington</t>
  </si>
  <si>
    <t>Speaker: CIAT Conference (Inter-American Center of Tax Administration) &amp; Visit Senior leaders of FAST Offices in Denver</t>
  </si>
  <si>
    <t>CPA conference (Certified Public Accountants Australia) &amp; Stakeholder meetings Sydney - Speaker</t>
  </si>
  <si>
    <t>SGATAR Conference (Study Group on Asian Tax Administration and Research) Manila Philippines</t>
  </si>
  <si>
    <t>Speaker: ATAX Conference &amp; Meeting with ATO Executives</t>
  </si>
  <si>
    <t>Flight Wellington/Sydney return</t>
  </si>
  <si>
    <t>CAANZ Conference (Chartered Accountants Australia &amp; New Zealand) Auckland - speaker and attendee</t>
  </si>
  <si>
    <t>Dinner with CEs/Microsoft senior leadership in Wellington</t>
  </si>
  <si>
    <t>Meeting with Corporate Vice President and CEs over dinner</t>
  </si>
  <si>
    <t>Gift for speaking at CPA Conference</t>
  </si>
  <si>
    <t>Drinks at Parliament</t>
  </si>
  <si>
    <t xml:space="preserve">Speaking CIAT Conference - (Inter-American Center of Tax Administration) </t>
  </si>
  <si>
    <t>Steven Joyce</t>
  </si>
  <si>
    <t>Attending Steven Joyce valedictory speech</t>
  </si>
  <si>
    <t xml:space="preserve">1 July 2017 to 30 June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</si>
</sst>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4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17" applyNumberFormat="0" applyAlignment="0" applyProtection="0"/>
    <xf numFmtId="0" fontId="26" fillId="13" borderId="18" applyNumberFormat="0" applyAlignment="0" applyProtection="0"/>
    <xf numFmtId="0" fontId="27" fillId="13" borderId="17" applyNumberFormat="0" applyAlignment="0" applyProtection="0"/>
    <xf numFmtId="0" fontId="28" fillId="0" borderId="19" applyNumberFormat="0" applyFill="0" applyAlignment="0" applyProtection="0"/>
    <xf numFmtId="0" fontId="29" fillId="14" borderId="2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3" fillId="39" borderId="0" applyNumberFormat="0" applyBorder="0" applyAlignment="0" applyProtection="0"/>
    <xf numFmtId="0" fontId="1" fillId="0" borderId="0"/>
    <xf numFmtId="0" fontId="1" fillId="15" borderId="21" applyNumberFormat="0" applyFont="0" applyAlignment="0" applyProtection="0"/>
  </cellStyleXfs>
  <cellXfs count="19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2" fillId="0" borderId="8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9" xfId="0" applyFont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4" fillId="4" borderId="4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0" fillId="0" borderId="0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readingOrder="1"/>
    </xf>
    <xf numFmtId="0" fontId="7" fillId="0" borderId="9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5" fillId="7" borderId="12" xfId="0" applyFont="1" applyFill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9" fillId="0" borderId="0" xfId="0" applyFont="1" applyBorder="1" applyAlignment="1">
      <alignment vertical="center" wrapText="1" readingOrder="1"/>
    </xf>
    <xf numFmtId="0" fontId="13" fillId="0" borderId="0" xfId="0" applyFont="1" applyBorder="1"/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1" fillId="0" borderId="9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2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6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2" fillId="8" borderId="2" xfId="0" applyNumberFormat="1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 wrapText="1" readingOrder="1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10" xfId="0" applyFont="1" applyBorder="1"/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wrapText="1"/>
    </xf>
    <xf numFmtId="0" fontId="0" fillId="0" borderId="0" xfId="0" applyFont="1" applyProtection="1"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12" fillId="0" borderId="9" xfId="0" applyFont="1" applyBorder="1" applyAlignment="1" applyProtection="1">
      <alignment vertical="top"/>
      <protection locked="0"/>
    </xf>
    <xf numFmtId="0" fontId="0" fillId="0" borderId="9" xfId="0" applyFont="1" applyBorder="1"/>
    <xf numFmtId="0" fontId="7" fillId="0" borderId="6" xfId="0" applyFont="1" applyBorder="1"/>
    <xf numFmtId="164" fontId="7" fillId="5" borderId="2" xfId="0" applyNumberFormat="1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0" fontId="7" fillId="5" borderId="2" xfId="0" applyFont="1" applyFill="1" applyBorder="1" applyAlignment="1">
      <alignment horizontal="right" vertical="center" wrapText="1"/>
    </xf>
    <xf numFmtId="0" fontId="7" fillId="0" borderId="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5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 readingOrder="1"/>
    </xf>
    <xf numFmtId="164" fontId="6" fillId="2" borderId="2" xfId="0" applyNumberFormat="1" applyFont="1" applyFill="1" applyBorder="1" applyAlignment="1">
      <alignment vertical="center" wrapText="1" readingOrder="1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5" fillId="7" borderId="13" xfId="0" applyFont="1" applyFill="1" applyBorder="1" applyAlignment="1">
      <alignment vertical="center" wrapText="1" readingOrder="1"/>
    </xf>
    <xf numFmtId="0" fontId="4" fillId="4" borderId="0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horizontal="justify" vertical="center"/>
    </xf>
    <xf numFmtId="0" fontId="0" fillId="0" borderId="11" xfId="0" applyFont="1" applyBorder="1" applyAlignment="1">
      <alignment horizontal="justify" vertical="center"/>
    </xf>
    <xf numFmtId="0" fontId="0" fillId="0" borderId="0" xfId="0" applyFont="1" applyBorder="1" applyProtection="1">
      <protection locked="0"/>
    </xf>
    <xf numFmtId="0" fontId="3" fillId="3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0" fillId="5" borderId="8" xfId="0" applyFill="1" applyBorder="1" applyAlignment="1"/>
    <xf numFmtId="0" fontId="2" fillId="8" borderId="2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9" xfId="0" applyFont="1" applyBorder="1" applyAlignment="1" applyProtection="1">
      <alignment vertical="top"/>
      <protection locked="0"/>
    </xf>
    <xf numFmtId="0" fontId="0" fillId="0" borderId="9" xfId="0" applyFont="1" applyBorder="1" applyAlignment="1" applyProtection="1">
      <protection locked="0"/>
    </xf>
    <xf numFmtId="0" fontId="11" fillId="0" borderId="9" xfId="0" applyFont="1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4" fontId="0" fillId="0" borderId="0" xfId="0" applyNumberFormat="1" applyFont="1" applyBorder="1" applyAlignment="1" applyProtection="1">
      <alignment vertical="top"/>
      <protection locked="0"/>
    </xf>
    <xf numFmtId="4" fontId="11" fillId="0" borderId="0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Font="1" applyBorder="1" applyAlignment="1" applyProtection="1">
      <alignment wrapText="1"/>
      <protection locked="0"/>
    </xf>
    <xf numFmtId="4" fontId="11" fillId="0" borderId="0" xfId="0" applyNumberFormat="1" applyFont="1" applyBorder="1" applyAlignment="1" applyProtection="1">
      <alignment wrapText="1"/>
      <protection locked="0"/>
    </xf>
    <xf numFmtId="14" fontId="0" fillId="0" borderId="9" xfId="0" applyNumberFormat="1" applyFont="1" applyBorder="1" applyAlignment="1" applyProtection="1">
      <alignment wrapText="1"/>
      <protection locked="0"/>
    </xf>
    <xf numFmtId="0" fontId="0" fillId="0" borderId="6" xfId="0" quotePrefix="1" applyBorder="1" applyAlignment="1" applyProtection="1">
      <alignment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wrapText="1"/>
      <protection locked="0"/>
    </xf>
    <xf numFmtId="4" fontId="0" fillId="0" borderId="24" xfId="0" applyNumberFormat="1" applyBorder="1" applyAlignment="1" applyProtection="1">
      <alignment wrapText="1"/>
      <protection locked="0"/>
    </xf>
    <xf numFmtId="4" fontId="0" fillId="0" borderId="28" xfId="0" applyNumberFormat="1" applyBorder="1" applyAlignment="1" applyProtection="1">
      <alignment wrapText="1"/>
      <protection locked="0"/>
    </xf>
    <xf numFmtId="0" fontId="0" fillId="0" borderId="23" xfId="0" applyFont="1" applyBorder="1" applyAlignment="1" applyProtection="1">
      <alignment vertical="top"/>
      <protection locked="0"/>
    </xf>
    <xf numFmtId="0" fontId="0" fillId="0" borderId="25" xfId="0" quotePrefix="1" applyBorder="1" applyAlignment="1" applyProtection="1">
      <alignment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4" fontId="0" fillId="0" borderId="24" xfId="0" applyNumberFormat="1" applyFont="1" applyBorder="1" applyAlignment="1" applyProtection="1">
      <alignment vertical="top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</xf>
    <xf numFmtId="0" fontId="0" fillId="0" borderId="24" xfId="0" applyBorder="1" applyAlignment="1" applyProtection="1">
      <alignment wrapText="1"/>
      <protection locked="0"/>
    </xf>
    <xf numFmtId="14" fontId="0" fillId="0" borderId="9" xfId="0" applyNumberFormat="1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14" fontId="0" fillId="0" borderId="0" xfId="0" applyNumberFormat="1" applyFont="1" applyBorder="1" applyProtection="1">
      <protection locked="0"/>
    </xf>
    <xf numFmtId="0" fontId="0" fillId="0" borderId="0" xfId="0" applyFont="1" applyAlignment="1">
      <alignment horizontal="justify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4" borderId="10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vertical="center" wrapText="1" readingOrder="1"/>
    </xf>
    <xf numFmtId="0" fontId="4" fillId="4" borderId="11" xfId="0" applyFont="1" applyFill="1" applyBorder="1" applyAlignment="1">
      <alignment vertical="center" wrapText="1" readingOrder="1"/>
    </xf>
    <xf numFmtId="0" fontId="8" fillId="0" borderId="12" xfId="0" applyFont="1" applyBorder="1" applyAlignment="1" applyProtection="1">
      <alignment vertical="center" wrapText="1" readingOrder="1"/>
      <protection locked="0"/>
    </xf>
    <xf numFmtId="0" fontId="9" fillId="0" borderId="12" xfId="0" applyFont="1" applyBorder="1" applyAlignment="1" applyProtection="1">
      <alignment vertical="center" wrapText="1" readingOrder="1"/>
      <protection locked="0"/>
    </xf>
    <xf numFmtId="0" fontId="9" fillId="0" borderId="13" xfId="0" applyFont="1" applyBorder="1" applyAlignment="1" applyProtection="1">
      <alignment vertical="center" wrapText="1" readingOrder="1"/>
      <protection locked="0"/>
    </xf>
    <xf numFmtId="0" fontId="14" fillId="0" borderId="4" xfId="0" applyFont="1" applyFill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0" fillId="0" borderId="10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1" xfId="0" applyFont="1" applyFill="1" applyBorder="1" applyAlignment="1">
      <alignment horizontal="center" vertical="center" wrapText="1" readingOrder="1"/>
    </xf>
    <xf numFmtId="0" fontId="4" fillId="3" borderId="7" xfId="0" applyNumberFormat="1" applyFont="1" applyFill="1" applyBorder="1" applyAlignment="1">
      <alignment vertical="center" wrapText="1" readingOrder="1"/>
    </xf>
    <xf numFmtId="0" fontId="4" fillId="3" borderId="2" xfId="0" applyNumberFormat="1" applyFont="1" applyFill="1" applyBorder="1" applyAlignment="1">
      <alignment vertical="center" wrapText="1" readingOrder="1"/>
    </xf>
    <xf numFmtId="0" fontId="4" fillId="6" borderId="7" xfId="0" applyFont="1" applyFill="1" applyBorder="1" applyAlignment="1">
      <alignment vertical="center" readingOrder="1"/>
    </xf>
    <xf numFmtId="0" fontId="4" fillId="6" borderId="2" xfId="0" applyFont="1" applyFill="1" applyBorder="1" applyAlignment="1">
      <alignment vertical="center" readingOrder="1"/>
    </xf>
    <xf numFmtId="0" fontId="0" fillId="0" borderId="10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4" fillId="4" borderId="10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0" fillId="0" borderId="9" xfId="0" applyFont="1" applyBorder="1" applyAlignment="1">
      <alignment wrapText="1"/>
    </xf>
    <xf numFmtId="0" fontId="17" fillId="0" borderId="12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 readingOrder="1"/>
    </xf>
    <xf numFmtId="0" fontId="9" fillId="0" borderId="12" xfId="0" applyFont="1" applyBorder="1" applyAlignment="1">
      <alignment vertical="center" wrapText="1" readingOrder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 vertical="center" wrapText="1" readingOrder="1"/>
    </xf>
    <xf numFmtId="0" fontId="9" fillId="0" borderId="13" xfId="0" applyFont="1" applyBorder="1" applyAlignment="1">
      <alignment vertical="center" wrapText="1" readingOrder="1"/>
    </xf>
    <xf numFmtId="0" fontId="16" fillId="0" borderId="10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 readingOrder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9"/>
  <sheetViews>
    <sheetView tabSelected="1" zoomScale="83" zoomScaleNormal="83" workbookViewId="0">
      <selection activeCell="A5" sqref="A5:D5"/>
    </sheetView>
  </sheetViews>
  <sheetFormatPr defaultColWidth="9.08984375" defaultRowHeight="12.5" x14ac:dyDescent="0.25"/>
  <cols>
    <col min="1" max="1" width="27.6328125" style="6" customWidth="1"/>
    <col min="2" max="2" width="23.6328125" style="1" customWidth="1"/>
    <col min="3" max="3" width="54.6328125" style="1" customWidth="1"/>
    <col min="4" max="4" width="46" style="1" customWidth="1"/>
    <col min="5" max="16384" width="9.08984375" style="1"/>
  </cols>
  <sheetData>
    <row r="1" spans="1:4" ht="36" customHeight="1" x14ac:dyDescent="0.25">
      <c r="A1" s="140" t="s">
        <v>24</v>
      </c>
      <c r="B1" s="141"/>
      <c r="C1" s="141"/>
      <c r="D1" s="142"/>
    </row>
    <row r="2" spans="1:4" ht="36" customHeight="1" x14ac:dyDescent="0.25">
      <c r="A2" s="31" t="s">
        <v>8</v>
      </c>
      <c r="B2" s="148" t="s">
        <v>68</v>
      </c>
      <c r="C2" s="148"/>
      <c r="D2" s="148"/>
    </row>
    <row r="3" spans="1:4" ht="36" customHeight="1" x14ac:dyDescent="0.25">
      <c r="A3" s="31" t="s">
        <v>9</v>
      </c>
      <c r="B3" s="149" t="s">
        <v>69</v>
      </c>
      <c r="C3" s="149"/>
      <c r="D3" s="149"/>
    </row>
    <row r="4" spans="1:4" ht="36" customHeight="1" x14ac:dyDescent="0.25">
      <c r="A4" s="95" t="s">
        <v>3</v>
      </c>
      <c r="B4" s="150" t="s">
        <v>240</v>
      </c>
      <c r="C4" s="150"/>
      <c r="D4" s="150"/>
    </row>
    <row r="5" spans="1:4" s="3" customFormat="1" ht="36" customHeight="1" x14ac:dyDescent="0.3">
      <c r="A5" s="151" t="s">
        <v>10</v>
      </c>
      <c r="B5" s="152"/>
      <c r="C5" s="152"/>
      <c r="D5" s="153"/>
    </row>
    <row r="6" spans="1:4" s="3" customFormat="1" ht="19.5" customHeight="1" x14ac:dyDescent="0.3">
      <c r="A6" s="154" t="s">
        <v>55</v>
      </c>
      <c r="B6" s="155"/>
      <c r="C6" s="155"/>
      <c r="D6" s="156"/>
    </row>
    <row r="7" spans="1:4" s="4" customFormat="1" ht="36" customHeight="1" x14ac:dyDescent="0.35">
      <c r="A7" s="145" t="s">
        <v>38</v>
      </c>
      <c r="B7" s="146"/>
      <c r="C7" s="146"/>
      <c r="D7" s="147"/>
    </row>
    <row r="8" spans="1:4" s="3" customFormat="1" ht="25.5" customHeight="1" x14ac:dyDescent="0.3">
      <c r="A8" s="18" t="s">
        <v>26</v>
      </c>
      <c r="B8" s="2" t="s">
        <v>29</v>
      </c>
      <c r="C8" s="2" t="s">
        <v>57</v>
      </c>
      <c r="D8" s="9" t="s">
        <v>17</v>
      </c>
    </row>
    <row r="9" spans="1:4" s="110" customFormat="1" ht="12.75" hidden="1" customHeight="1" x14ac:dyDescent="0.25">
      <c r="A9" s="107"/>
      <c r="B9" s="117"/>
      <c r="C9" s="108"/>
      <c r="D9" s="109"/>
    </row>
    <row r="10" spans="1:4" s="110" customFormat="1" ht="25" x14ac:dyDescent="0.25">
      <c r="A10" s="112" t="s">
        <v>137</v>
      </c>
      <c r="B10" s="118">
        <f>16.71+14.8</f>
        <v>31.51</v>
      </c>
      <c r="C10" s="123" t="s">
        <v>225</v>
      </c>
      <c r="D10" s="109" t="s">
        <v>191</v>
      </c>
    </row>
    <row r="11" spans="1:4" s="110" customFormat="1" ht="25" x14ac:dyDescent="0.25">
      <c r="A11" s="112" t="s">
        <v>137</v>
      </c>
      <c r="B11" s="118">
        <f>46.76+182.16+81.05+114.53+85.77+186.44</f>
        <v>696.71</v>
      </c>
      <c r="C11" s="123" t="s">
        <v>225</v>
      </c>
      <c r="D11" s="109" t="s">
        <v>135</v>
      </c>
    </row>
    <row r="12" spans="1:4" s="110" customFormat="1" ht="25" x14ac:dyDescent="0.25">
      <c r="A12" s="112" t="s">
        <v>137</v>
      </c>
      <c r="B12" s="118">
        <f>904.13+261.35</f>
        <v>1165.48</v>
      </c>
      <c r="C12" s="123" t="s">
        <v>225</v>
      </c>
      <c r="D12" s="109" t="s">
        <v>192</v>
      </c>
    </row>
    <row r="13" spans="1:4" s="110" customFormat="1" ht="25" x14ac:dyDescent="0.25">
      <c r="A13" s="112" t="s">
        <v>137</v>
      </c>
      <c r="B13" s="118">
        <v>7240.54</v>
      </c>
      <c r="C13" s="123" t="s">
        <v>225</v>
      </c>
      <c r="D13" s="109" t="s">
        <v>108</v>
      </c>
    </row>
    <row r="14" spans="1:4" s="110" customFormat="1" ht="25" x14ac:dyDescent="0.25">
      <c r="A14" s="112" t="s">
        <v>137</v>
      </c>
      <c r="B14" s="117">
        <f>6292.75+9.2+204.13</f>
        <v>6506.08</v>
      </c>
      <c r="C14" s="123" t="s">
        <v>225</v>
      </c>
      <c r="D14" s="123" t="s">
        <v>109</v>
      </c>
    </row>
    <row r="15" spans="1:4" s="110" customFormat="1" ht="25" x14ac:dyDescent="0.25">
      <c r="A15" s="112" t="s">
        <v>137</v>
      </c>
      <c r="B15" s="118">
        <v>66.13</v>
      </c>
      <c r="C15" s="123" t="s">
        <v>225</v>
      </c>
      <c r="D15" s="109" t="s">
        <v>143</v>
      </c>
    </row>
    <row r="16" spans="1:4" s="110" customFormat="1" ht="25.5" thickBot="1" x14ac:dyDescent="0.3">
      <c r="A16" s="128" t="s">
        <v>137</v>
      </c>
      <c r="B16" s="131">
        <v>23</v>
      </c>
      <c r="C16" s="129" t="s">
        <v>225</v>
      </c>
      <c r="D16" s="125" t="s">
        <v>117</v>
      </c>
    </row>
    <row r="17" spans="1:4" s="110" customFormat="1" ht="25" x14ac:dyDescent="0.25">
      <c r="A17" s="112" t="s">
        <v>188</v>
      </c>
      <c r="B17" s="118">
        <f>786.86+9.2+598.23</f>
        <v>1394.29</v>
      </c>
      <c r="C17" s="123" t="s">
        <v>228</v>
      </c>
      <c r="D17" s="109" t="s">
        <v>189</v>
      </c>
    </row>
    <row r="18" spans="1:4" s="110" customFormat="1" ht="25" x14ac:dyDescent="0.25">
      <c r="A18" s="112" t="s">
        <v>188</v>
      </c>
      <c r="B18" s="118">
        <f>420.37+326.4</f>
        <v>746.77</v>
      </c>
      <c r="C18" s="123" t="s">
        <v>228</v>
      </c>
      <c r="D18" s="109" t="s">
        <v>136</v>
      </c>
    </row>
    <row r="19" spans="1:4" s="110" customFormat="1" ht="25" x14ac:dyDescent="0.25">
      <c r="A19" s="112" t="s">
        <v>188</v>
      </c>
      <c r="B19" s="118">
        <f>23.91+23.84+7</f>
        <v>54.75</v>
      </c>
      <c r="C19" s="123" t="s">
        <v>228</v>
      </c>
      <c r="D19" s="109" t="s">
        <v>145</v>
      </c>
    </row>
    <row r="20" spans="1:4" s="110" customFormat="1" ht="25.5" thickBot="1" x14ac:dyDescent="0.3">
      <c r="A20" s="128" t="s">
        <v>188</v>
      </c>
      <c r="B20" s="131">
        <f>42.69+37.95+16.05+18.14+29.57+62.22</f>
        <v>206.62</v>
      </c>
      <c r="C20" s="129" t="s">
        <v>228</v>
      </c>
      <c r="D20" s="125" t="s">
        <v>162</v>
      </c>
    </row>
    <row r="21" spans="1:4" s="110" customFormat="1" ht="25" x14ac:dyDescent="0.25">
      <c r="A21" s="112" t="s">
        <v>159</v>
      </c>
      <c r="B21" s="118">
        <f>6015.34+233.45+204.13+125.01+57.5</f>
        <v>6635.43</v>
      </c>
      <c r="C21" s="123" t="s">
        <v>229</v>
      </c>
      <c r="D21" s="109" t="s">
        <v>121</v>
      </c>
    </row>
    <row r="22" spans="1:4" s="110" customFormat="1" ht="25" x14ac:dyDescent="0.25">
      <c r="A22" s="112" t="s">
        <v>159</v>
      </c>
      <c r="B22" s="118">
        <v>2084.2399999999998</v>
      </c>
      <c r="C22" s="123" t="s">
        <v>229</v>
      </c>
      <c r="D22" s="109" t="s">
        <v>136</v>
      </c>
    </row>
    <row r="23" spans="1:4" s="110" customFormat="1" ht="25" x14ac:dyDescent="0.25">
      <c r="A23" s="112" t="s">
        <v>159</v>
      </c>
      <c r="B23" s="118">
        <v>65</v>
      </c>
      <c r="C23" s="123" t="s">
        <v>229</v>
      </c>
      <c r="D23" s="109" t="s">
        <v>122</v>
      </c>
    </row>
    <row r="24" spans="1:4" s="110" customFormat="1" ht="25" x14ac:dyDescent="0.25">
      <c r="A24" s="112" t="s">
        <v>159</v>
      </c>
      <c r="B24" s="117">
        <f>63.24+60.98</f>
        <v>124.22</v>
      </c>
      <c r="C24" s="123" t="s">
        <v>229</v>
      </c>
      <c r="D24" s="123" t="s">
        <v>146</v>
      </c>
    </row>
    <row r="25" spans="1:4" s="110" customFormat="1" ht="25.5" thickBot="1" x14ac:dyDescent="0.3">
      <c r="A25" s="128" t="s">
        <v>159</v>
      </c>
      <c r="B25" s="131">
        <v>520.41</v>
      </c>
      <c r="C25" s="129" t="s">
        <v>229</v>
      </c>
      <c r="D25" s="125" t="s">
        <v>164</v>
      </c>
    </row>
    <row r="26" spans="1:4" s="110" customFormat="1" ht="25" x14ac:dyDescent="0.25">
      <c r="A26" s="112" t="s">
        <v>172</v>
      </c>
      <c r="B26" s="118">
        <f>14330.99+609.27+9.2+204.13+46+9.2</f>
        <v>15208.79</v>
      </c>
      <c r="C26" s="123" t="s">
        <v>227</v>
      </c>
      <c r="D26" s="132" t="s">
        <v>226</v>
      </c>
    </row>
    <row r="27" spans="1:4" s="110" customFormat="1" ht="25" x14ac:dyDescent="0.25">
      <c r="A27" s="112" t="s">
        <v>172</v>
      </c>
      <c r="B27" s="118">
        <f>22.54+18</f>
        <v>40.54</v>
      </c>
      <c r="C27" s="123" t="s">
        <v>227</v>
      </c>
      <c r="D27" s="109" t="s">
        <v>135</v>
      </c>
    </row>
    <row r="28" spans="1:4" s="110" customFormat="1" ht="25" x14ac:dyDescent="0.25">
      <c r="A28" s="112" t="s">
        <v>172</v>
      </c>
      <c r="B28" s="110">
        <f>559.57+1589.16</f>
        <v>2148.73</v>
      </c>
      <c r="C28" s="123" t="s">
        <v>227</v>
      </c>
      <c r="D28" s="109" t="s">
        <v>136</v>
      </c>
    </row>
    <row r="29" spans="1:4" s="110" customFormat="1" ht="25" x14ac:dyDescent="0.25">
      <c r="A29" s="112" t="s">
        <v>172</v>
      </c>
      <c r="B29" s="110">
        <f>22.64+8.76</f>
        <v>31.4</v>
      </c>
      <c r="C29" s="123" t="s">
        <v>227</v>
      </c>
      <c r="D29" s="109" t="s">
        <v>179</v>
      </c>
    </row>
    <row r="30" spans="1:4" s="110" customFormat="1" ht="25.5" thickBot="1" x14ac:dyDescent="0.3">
      <c r="A30" s="128" t="s">
        <v>172</v>
      </c>
      <c r="B30" s="134">
        <f>32.96+132.78+66.73+53.71+62.62</f>
        <v>348.8</v>
      </c>
      <c r="C30" s="129" t="s">
        <v>227</v>
      </c>
      <c r="D30" s="129" t="s">
        <v>144</v>
      </c>
    </row>
    <row r="31" spans="1:4" s="110" customFormat="1" x14ac:dyDescent="0.25">
      <c r="A31" s="110" t="s">
        <v>173</v>
      </c>
      <c r="B31" s="110">
        <f>786.29+9.2</f>
        <v>795.49</v>
      </c>
      <c r="C31" s="132" t="s">
        <v>230</v>
      </c>
      <c r="D31" s="109" t="s">
        <v>231</v>
      </c>
    </row>
    <row r="32" spans="1:4" s="110" customFormat="1" ht="13" thickBot="1" x14ac:dyDescent="0.3">
      <c r="A32" s="134" t="s">
        <v>173</v>
      </c>
      <c r="B32" s="134">
        <v>276.02</v>
      </c>
      <c r="C32" s="125" t="s">
        <v>230</v>
      </c>
      <c r="D32" s="125" t="s">
        <v>136</v>
      </c>
    </row>
    <row r="33" spans="1:4" s="110" customFormat="1" x14ac:dyDescent="0.25">
      <c r="D33" s="109"/>
    </row>
    <row r="34" spans="1:4" s="110" customFormat="1" x14ac:dyDescent="0.25"/>
    <row r="35" spans="1:4" s="110" customFormat="1" x14ac:dyDescent="0.25"/>
    <row r="36" spans="1:4" s="110" customFormat="1" x14ac:dyDescent="0.25">
      <c r="D36" s="109"/>
    </row>
    <row r="37" spans="1:4" s="110" customFormat="1" x14ac:dyDescent="0.25">
      <c r="A37" s="112"/>
      <c r="B37" s="118"/>
      <c r="C37" s="123"/>
      <c r="D37" s="109"/>
    </row>
    <row r="38" spans="1:4" s="110" customFormat="1" x14ac:dyDescent="0.25">
      <c r="A38" s="107"/>
      <c r="B38" s="117"/>
      <c r="C38" s="109"/>
      <c r="D38" s="109"/>
    </row>
    <row r="39" spans="1:4" s="110" customFormat="1" x14ac:dyDescent="0.25">
      <c r="A39" s="107"/>
      <c r="B39" s="117"/>
      <c r="C39" s="109"/>
      <c r="D39" s="109"/>
    </row>
    <row r="40" spans="1:4" s="110" customFormat="1" hidden="1" x14ac:dyDescent="0.25">
      <c r="A40" s="107"/>
      <c r="B40" s="108"/>
      <c r="C40" s="108"/>
      <c r="D40" s="109"/>
    </row>
    <row r="41" spans="1:4" ht="19.5" customHeight="1" x14ac:dyDescent="0.25">
      <c r="A41" s="43" t="s">
        <v>4</v>
      </c>
      <c r="B41" s="48">
        <f>SUM(B9:B40)</f>
        <v>46410.950000000004</v>
      </c>
      <c r="C41" s="105"/>
      <c r="D41" s="106"/>
    </row>
    <row r="42" spans="1:4" ht="5.25" customHeight="1" x14ac:dyDescent="0.25">
      <c r="A42" s="25"/>
      <c r="B42" s="71"/>
      <c r="C42" s="71"/>
      <c r="D42" s="71"/>
    </row>
    <row r="43" spans="1:4" s="4" customFormat="1" ht="36" customHeight="1" x14ac:dyDescent="0.35">
      <c r="A43" s="157" t="s">
        <v>66</v>
      </c>
      <c r="B43" s="158"/>
      <c r="C43" s="158"/>
      <c r="D43" s="102"/>
    </row>
    <row r="44" spans="1:4" s="3" customFormat="1" ht="25.5" customHeight="1" x14ac:dyDescent="0.3">
      <c r="A44" s="18" t="s">
        <v>26</v>
      </c>
      <c r="B44" s="2" t="s">
        <v>30</v>
      </c>
      <c r="C44" s="2" t="s">
        <v>58</v>
      </c>
      <c r="D44" s="9" t="s">
        <v>16</v>
      </c>
    </row>
    <row r="45" spans="1:4" s="110" customFormat="1" ht="17.25" hidden="1" customHeight="1" x14ac:dyDescent="0.25">
      <c r="A45" s="107"/>
      <c r="B45" s="117"/>
      <c r="C45" s="108"/>
      <c r="D45" s="109"/>
    </row>
    <row r="46" spans="1:4" s="110" customFormat="1" ht="17.25" customHeight="1" x14ac:dyDescent="0.25">
      <c r="A46" s="135" t="s">
        <v>103</v>
      </c>
      <c r="B46" s="117">
        <f>53.77+65.3+94.35</f>
        <v>213.42</v>
      </c>
      <c r="C46" s="108" t="s">
        <v>104</v>
      </c>
      <c r="D46" s="109" t="s">
        <v>106</v>
      </c>
    </row>
    <row r="47" spans="1:4" s="110" customFormat="1" ht="17.25" customHeight="1" x14ac:dyDescent="0.25">
      <c r="A47" s="107" t="s">
        <v>107</v>
      </c>
      <c r="B47" s="117">
        <f>394.01+9.2</f>
        <v>403.21</v>
      </c>
      <c r="C47" s="108" t="s">
        <v>110</v>
      </c>
      <c r="D47" s="109" t="s">
        <v>111</v>
      </c>
    </row>
    <row r="48" spans="1:4" s="110" customFormat="1" ht="17.25" customHeight="1" x14ac:dyDescent="0.25">
      <c r="A48" s="110" t="s">
        <v>216</v>
      </c>
      <c r="B48" s="110">
        <v>18.75</v>
      </c>
      <c r="C48" s="110" t="s">
        <v>217</v>
      </c>
      <c r="D48" s="110" t="s">
        <v>218</v>
      </c>
    </row>
    <row r="49" spans="1:4" s="110" customFormat="1" x14ac:dyDescent="0.25">
      <c r="A49" s="107" t="s">
        <v>118</v>
      </c>
      <c r="B49" s="117">
        <f>67.57+75.6</f>
        <v>143.16999999999999</v>
      </c>
      <c r="C49" s="108" t="s">
        <v>110</v>
      </c>
      <c r="D49" s="109" t="s">
        <v>119</v>
      </c>
    </row>
    <row r="50" spans="1:4" s="110" customFormat="1" x14ac:dyDescent="0.25">
      <c r="A50" s="107" t="s">
        <v>118</v>
      </c>
      <c r="B50" s="117">
        <v>88.17</v>
      </c>
      <c r="C50" s="108" t="s">
        <v>123</v>
      </c>
      <c r="D50" s="109" t="s">
        <v>119</v>
      </c>
    </row>
    <row r="51" spans="1:4" s="110" customFormat="1" ht="13" thickBot="1" x14ac:dyDescent="0.3">
      <c r="A51" s="124" t="s">
        <v>124</v>
      </c>
      <c r="B51" s="126">
        <f>44.08+66.73</f>
        <v>110.81</v>
      </c>
      <c r="C51" s="134" t="s">
        <v>127</v>
      </c>
      <c r="D51" s="125" t="s">
        <v>128</v>
      </c>
    </row>
    <row r="52" spans="1:4" s="110" customFormat="1" x14ac:dyDescent="0.25"/>
    <row r="53" spans="1:4" s="110" customFormat="1" x14ac:dyDescent="0.25"/>
    <row r="54" spans="1:4" s="110" customFormat="1" ht="37.5" x14ac:dyDescent="0.25">
      <c r="A54" s="107" t="s">
        <v>187</v>
      </c>
      <c r="B54" s="117">
        <f>344.51+236.6+40.25+40.25</f>
        <v>661.61</v>
      </c>
      <c r="C54" s="108" t="s">
        <v>129</v>
      </c>
      <c r="D54" s="109" t="s">
        <v>130</v>
      </c>
    </row>
    <row r="55" spans="1:4" s="110" customFormat="1" ht="37.5" x14ac:dyDescent="0.25">
      <c r="A55" s="107" t="s">
        <v>187</v>
      </c>
      <c r="B55" s="117">
        <f>285+255+189.75</f>
        <v>729.75</v>
      </c>
      <c r="C55" s="108" t="s">
        <v>129</v>
      </c>
      <c r="D55" s="109" t="s">
        <v>157</v>
      </c>
    </row>
    <row r="56" spans="1:4" s="110" customFormat="1" ht="37.5" x14ac:dyDescent="0.25">
      <c r="A56" s="107" t="s">
        <v>187</v>
      </c>
      <c r="B56" s="117">
        <f>34.01+31</f>
        <v>65.009999999999991</v>
      </c>
      <c r="C56" s="108" t="s">
        <v>129</v>
      </c>
      <c r="D56" s="109" t="s">
        <v>135</v>
      </c>
    </row>
    <row r="57" spans="1:4" s="110" customFormat="1" ht="37.5" x14ac:dyDescent="0.25">
      <c r="A57" s="107" t="s">
        <v>187</v>
      </c>
      <c r="B57" s="117">
        <f>24+27.6</f>
        <v>51.6</v>
      </c>
      <c r="C57" s="108" t="s">
        <v>129</v>
      </c>
      <c r="D57" s="109" t="s">
        <v>158</v>
      </c>
    </row>
    <row r="58" spans="1:4" s="110" customFormat="1" ht="38" thickBot="1" x14ac:dyDescent="0.3">
      <c r="A58" s="124" t="s">
        <v>187</v>
      </c>
      <c r="B58" s="126">
        <f>21.6+21+80.01+13.46+124+67.98</f>
        <v>328.05000000000007</v>
      </c>
      <c r="C58" s="134" t="s">
        <v>129</v>
      </c>
      <c r="D58" s="125" t="s">
        <v>162</v>
      </c>
    </row>
    <row r="59" spans="1:4" s="110" customFormat="1" x14ac:dyDescent="0.25">
      <c r="A59" s="107" t="s">
        <v>170</v>
      </c>
      <c r="B59" s="117">
        <f>329.66+50+11.5</f>
        <v>391.16</v>
      </c>
      <c r="C59" s="108" t="s">
        <v>190</v>
      </c>
      <c r="D59" s="109" t="s">
        <v>130</v>
      </c>
    </row>
    <row r="60" spans="1:4" s="110" customFormat="1" x14ac:dyDescent="0.25">
      <c r="A60" s="107" t="s">
        <v>170</v>
      </c>
      <c r="B60" s="117">
        <f>51.5+52.33+83.64</f>
        <v>187.47</v>
      </c>
      <c r="C60" s="108" t="s">
        <v>190</v>
      </c>
      <c r="D60" s="109" t="s">
        <v>208</v>
      </c>
    </row>
    <row r="61" spans="1:4" s="110" customFormat="1" ht="13" thickBot="1" x14ac:dyDescent="0.3">
      <c r="A61" s="124" t="s">
        <v>170</v>
      </c>
      <c r="B61" s="126">
        <f>228.65</f>
        <v>228.65</v>
      </c>
      <c r="C61" s="134" t="s">
        <v>190</v>
      </c>
      <c r="D61" s="125" t="s">
        <v>132</v>
      </c>
    </row>
    <row r="62" spans="1:4" s="110" customFormat="1" x14ac:dyDescent="0.25">
      <c r="A62" s="107" t="s">
        <v>133</v>
      </c>
      <c r="B62" s="117">
        <f>177.2+45+8+266.31+9.2</f>
        <v>505.71</v>
      </c>
      <c r="C62" s="108" t="s">
        <v>134</v>
      </c>
      <c r="D62" s="109" t="s">
        <v>130</v>
      </c>
    </row>
    <row r="63" spans="1:4" s="110" customFormat="1" x14ac:dyDescent="0.25">
      <c r="A63" s="107"/>
      <c r="B63" s="117">
        <v>295.10000000000002</v>
      </c>
      <c r="C63" s="108" t="s">
        <v>134</v>
      </c>
      <c r="D63" s="109" t="s">
        <v>131</v>
      </c>
    </row>
    <row r="64" spans="1:4" s="110" customFormat="1" x14ac:dyDescent="0.25">
      <c r="A64" s="107" t="s">
        <v>133</v>
      </c>
      <c r="B64" s="117">
        <v>12.5</v>
      </c>
      <c r="C64" s="108" t="s">
        <v>134</v>
      </c>
      <c r="D64" s="109" t="s">
        <v>138</v>
      </c>
    </row>
    <row r="65" spans="1:4" s="110" customFormat="1" x14ac:dyDescent="0.25">
      <c r="A65" s="107" t="s">
        <v>133</v>
      </c>
      <c r="B65" s="117">
        <v>86</v>
      </c>
      <c r="C65" s="108" t="s">
        <v>134</v>
      </c>
      <c r="D65" s="109" t="s">
        <v>161</v>
      </c>
    </row>
    <row r="66" spans="1:4" s="110" customFormat="1" ht="13" thickBot="1" x14ac:dyDescent="0.3">
      <c r="A66" s="124" t="s">
        <v>133</v>
      </c>
      <c r="B66" s="126">
        <f>53.56+16.48+55.41+47.17</f>
        <v>172.62</v>
      </c>
      <c r="C66" s="134" t="s">
        <v>134</v>
      </c>
      <c r="D66" s="125" t="s">
        <v>219</v>
      </c>
    </row>
    <row r="67" spans="1:4" s="110" customFormat="1" x14ac:dyDescent="0.25"/>
    <row r="68" spans="1:4" s="110" customFormat="1" ht="13" thickBot="1" x14ac:dyDescent="0.3">
      <c r="A68" s="124" t="s">
        <v>148</v>
      </c>
      <c r="B68" s="126">
        <f>43.04+53.35</f>
        <v>96.39</v>
      </c>
      <c r="C68" s="134" t="s">
        <v>151</v>
      </c>
      <c r="D68" s="125" t="s">
        <v>105</v>
      </c>
    </row>
    <row r="69" spans="1:4" s="110" customFormat="1" ht="25" x14ac:dyDescent="0.25">
      <c r="A69" s="107" t="s">
        <v>186</v>
      </c>
      <c r="B69" s="117">
        <f>592+9.2</f>
        <v>601.20000000000005</v>
      </c>
      <c r="C69" s="108" t="s">
        <v>232</v>
      </c>
      <c r="D69" s="109" t="s">
        <v>152</v>
      </c>
    </row>
    <row r="70" spans="1:4" s="110" customFormat="1" ht="25" x14ac:dyDescent="0.25">
      <c r="A70" s="107" t="s">
        <v>186</v>
      </c>
      <c r="B70" s="117">
        <v>620.16</v>
      </c>
      <c r="C70" s="108" t="s">
        <v>232</v>
      </c>
      <c r="D70" s="109" t="s">
        <v>131</v>
      </c>
    </row>
    <row r="71" spans="1:4" s="110" customFormat="1" ht="25.5" thickBot="1" x14ac:dyDescent="0.3">
      <c r="A71" s="124" t="s">
        <v>186</v>
      </c>
      <c r="B71" s="126">
        <f>101.15+111.45</f>
        <v>212.60000000000002</v>
      </c>
      <c r="C71" s="134" t="s">
        <v>232</v>
      </c>
      <c r="D71" s="125" t="s">
        <v>146</v>
      </c>
    </row>
    <row r="72" spans="1:4" s="110" customFormat="1" x14ac:dyDescent="0.25">
      <c r="A72" s="107" t="s">
        <v>181</v>
      </c>
      <c r="B72" s="117">
        <f>272.25+183.15+9.2</f>
        <v>464.59999999999997</v>
      </c>
      <c r="C72" s="108" t="s">
        <v>153</v>
      </c>
      <c r="D72" s="109" t="s">
        <v>154</v>
      </c>
    </row>
    <row r="73" spans="1:4" s="110" customFormat="1" x14ac:dyDescent="0.25">
      <c r="A73" s="107" t="s">
        <v>181</v>
      </c>
      <c r="B73" s="117">
        <v>27</v>
      </c>
      <c r="C73" s="108" t="s">
        <v>153</v>
      </c>
      <c r="D73" s="109" t="s">
        <v>161</v>
      </c>
    </row>
    <row r="74" spans="1:4" s="110" customFormat="1" x14ac:dyDescent="0.25">
      <c r="A74" s="107" t="s">
        <v>181</v>
      </c>
      <c r="B74" s="117">
        <v>77.040000000000006</v>
      </c>
      <c r="C74" s="108" t="s">
        <v>153</v>
      </c>
      <c r="D74" s="109" t="s">
        <v>105</v>
      </c>
    </row>
    <row r="75" spans="1:4" s="110" customFormat="1" ht="13" thickBot="1" x14ac:dyDescent="0.3">
      <c r="A75" s="124" t="s">
        <v>181</v>
      </c>
      <c r="B75" s="126">
        <v>202.5</v>
      </c>
      <c r="C75" s="134" t="s">
        <v>153</v>
      </c>
      <c r="D75" s="125" t="s">
        <v>131</v>
      </c>
    </row>
    <row r="76" spans="1:4" s="110" customFormat="1" x14ac:dyDescent="0.25">
      <c r="A76" s="107" t="s">
        <v>182</v>
      </c>
      <c r="B76" s="117">
        <f>304.91+50+9.2+11.5</f>
        <v>375.61</v>
      </c>
      <c r="C76" s="108" t="s">
        <v>155</v>
      </c>
      <c r="D76" s="109" t="s">
        <v>156</v>
      </c>
    </row>
    <row r="77" spans="1:4" s="110" customFormat="1" x14ac:dyDescent="0.25">
      <c r="A77" s="107" t="s">
        <v>182</v>
      </c>
      <c r="B77" s="117">
        <f>60.54+63.45</f>
        <v>123.99000000000001</v>
      </c>
      <c r="C77" s="108" t="s">
        <v>155</v>
      </c>
      <c r="D77" s="109" t="s">
        <v>160</v>
      </c>
    </row>
    <row r="78" spans="1:4" s="110" customFormat="1" x14ac:dyDescent="0.25">
      <c r="A78" s="107" t="s">
        <v>182</v>
      </c>
      <c r="B78" s="117">
        <f>22+5</f>
        <v>27</v>
      </c>
      <c r="C78" s="108" t="s">
        <v>155</v>
      </c>
      <c r="D78" s="109" t="s">
        <v>161</v>
      </c>
    </row>
    <row r="79" spans="1:4" s="110" customFormat="1" ht="13" thickBot="1" x14ac:dyDescent="0.3">
      <c r="A79" s="124" t="s">
        <v>182</v>
      </c>
      <c r="B79" s="126">
        <v>275</v>
      </c>
      <c r="C79" s="134" t="s">
        <v>155</v>
      </c>
      <c r="D79" s="125" t="s">
        <v>131</v>
      </c>
    </row>
    <row r="80" spans="1:4" s="110" customFormat="1" ht="13" thickBot="1" x14ac:dyDescent="0.3">
      <c r="A80" s="124" t="s">
        <v>183</v>
      </c>
      <c r="B80" s="126">
        <f>63.65+46.56</f>
        <v>110.21000000000001</v>
      </c>
      <c r="C80" s="134" t="s">
        <v>163</v>
      </c>
      <c r="D80" s="125" t="s">
        <v>160</v>
      </c>
    </row>
    <row r="81" spans="1:4" s="110" customFormat="1" x14ac:dyDescent="0.25">
      <c r="A81" s="107" t="s">
        <v>184</v>
      </c>
      <c r="B81" s="117">
        <f>559.34+9.2+456.87+11.5+336.98</f>
        <v>1373.89</v>
      </c>
      <c r="C81" s="108" t="s">
        <v>165</v>
      </c>
      <c r="D81" s="109" t="s">
        <v>120</v>
      </c>
    </row>
    <row r="82" spans="1:4" s="110" customFormat="1" x14ac:dyDescent="0.25">
      <c r="A82" s="107" t="s">
        <v>184</v>
      </c>
      <c r="B82" s="117">
        <f>22+4</f>
        <v>26</v>
      </c>
      <c r="C82" s="108" t="s">
        <v>165</v>
      </c>
      <c r="D82" s="109" t="s">
        <v>166</v>
      </c>
    </row>
    <row r="83" spans="1:4" s="110" customFormat="1" x14ac:dyDescent="0.25">
      <c r="A83" s="107" t="s">
        <v>184</v>
      </c>
      <c r="B83" s="117">
        <f>56.44+56.24</f>
        <v>112.68</v>
      </c>
      <c r="C83" s="108" t="s">
        <v>165</v>
      </c>
      <c r="D83" s="109" t="s">
        <v>146</v>
      </c>
    </row>
    <row r="84" spans="1:4" s="110" customFormat="1" ht="13" thickBot="1" x14ac:dyDescent="0.3">
      <c r="A84" s="124" t="s">
        <v>184</v>
      </c>
      <c r="B84" s="126">
        <f>233.1</f>
        <v>233.1</v>
      </c>
      <c r="C84" s="134" t="s">
        <v>165</v>
      </c>
      <c r="D84" s="125" t="s">
        <v>131</v>
      </c>
    </row>
    <row r="85" spans="1:4" s="110" customFormat="1" x14ac:dyDescent="0.25">
      <c r="A85" s="107" t="s">
        <v>168</v>
      </c>
      <c r="B85" s="117">
        <f>392.02+9.2</f>
        <v>401.21999999999997</v>
      </c>
      <c r="C85" s="108" t="s">
        <v>167</v>
      </c>
      <c r="D85" s="109" t="s">
        <v>120</v>
      </c>
    </row>
    <row r="86" spans="1:4" s="110" customFormat="1" ht="13" thickBot="1" x14ac:dyDescent="0.3">
      <c r="A86" s="124" t="s">
        <v>168</v>
      </c>
      <c r="B86" s="126">
        <f>88.58+85.49+58.91+63.65</f>
        <v>296.63</v>
      </c>
      <c r="C86" s="134" t="s">
        <v>167</v>
      </c>
      <c r="D86" s="125" t="s">
        <v>147</v>
      </c>
    </row>
    <row r="87" spans="1:4" s="110" customFormat="1" x14ac:dyDescent="0.25">
      <c r="A87" s="107" t="s">
        <v>185</v>
      </c>
      <c r="B87" s="117">
        <f>473.2+9.2</f>
        <v>482.4</v>
      </c>
      <c r="C87" s="108" t="s">
        <v>169</v>
      </c>
      <c r="D87" s="109" t="s">
        <v>120</v>
      </c>
    </row>
    <row r="88" spans="1:4" s="110" customFormat="1" x14ac:dyDescent="0.25">
      <c r="A88" s="107" t="s">
        <v>185</v>
      </c>
      <c r="B88" s="117">
        <v>315</v>
      </c>
      <c r="C88" s="108" t="s">
        <v>169</v>
      </c>
      <c r="D88" s="109" t="s">
        <v>131</v>
      </c>
    </row>
    <row r="89" spans="1:4" s="110" customFormat="1" ht="13" thickBot="1" x14ac:dyDescent="0.3">
      <c r="A89" s="124" t="s">
        <v>185</v>
      </c>
      <c r="B89" s="126">
        <f>28.03+27.4+56.65+102.79+20.19+87.14+63.04</f>
        <v>385.24</v>
      </c>
      <c r="C89" s="134" t="s">
        <v>169</v>
      </c>
      <c r="D89" s="125" t="s">
        <v>224</v>
      </c>
    </row>
    <row r="90" spans="1:4" s="110" customFormat="1" x14ac:dyDescent="0.25">
      <c r="A90" s="107" t="s">
        <v>171</v>
      </c>
      <c r="B90" s="117">
        <v>202.95</v>
      </c>
      <c r="C90" s="108" t="s">
        <v>212</v>
      </c>
      <c r="D90" s="109" t="s">
        <v>156</v>
      </c>
    </row>
    <row r="91" spans="1:4" s="110" customFormat="1" ht="13" thickBot="1" x14ac:dyDescent="0.3">
      <c r="A91" s="124" t="s">
        <v>171</v>
      </c>
      <c r="B91" s="126">
        <f>71.31+63.86</f>
        <v>135.17000000000002</v>
      </c>
      <c r="C91" s="134" t="s">
        <v>212</v>
      </c>
      <c r="D91" s="125" t="s">
        <v>105</v>
      </c>
    </row>
    <row r="92" spans="1:4" s="110" customFormat="1" x14ac:dyDescent="0.25">
      <c r="A92" s="107" t="s">
        <v>174</v>
      </c>
      <c r="B92" s="117">
        <f>383.11+9.2</f>
        <v>392.31</v>
      </c>
      <c r="C92" s="108" t="s">
        <v>175</v>
      </c>
      <c r="D92" s="109" t="s">
        <v>176</v>
      </c>
    </row>
    <row r="93" spans="1:4" s="110" customFormat="1" ht="13" thickBot="1" x14ac:dyDescent="0.3">
      <c r="A93" s="124" t="s">
        <v>174</v>
      </c>
      <c r="B93" s="126">
        <f>65.92</f>
        <v>65.92</v>
      </c>
      <c r="C93" s="134" t="s">
        <v>175</v>
      </c>
      <c r="D93" s="125" t="s">
        <v>105</v>
      </c>
    </row>
    <row r="94" spans="1:4" s="110" customFormat="1" ht="13" thickBot="1" x14ac:dyDescent="0.3">
      <c r="A94" s="124" t="s">
        <v>213</v>
      </c>
      <c r="B94" s="126">
        <v>270.27</v>
      </c>
      <c r="C94" s="134" t="s">
        <v>214</v>
      </c>
      <c r="D94" s="125" t="s">
        <v>215</v>
      </c>
    </row>
    <row r="95" spans="1:4" s="110" customFormat="1" ht="13" thickBot="1" x14ac:dyDescent="0.3">
      <c r="A95" s="130" t="s">
        <v>195</v>
      </c>
      <c r="B95" s="127">
        <f>459.34+9.2</f>
        <v>468.53999999999996</v>
      </c>
      <c r="C95" s="137" t="s">
        <v>198</v>
      </c>
      <c r="D95" s="136" t="s">
        <v>197</v>
      </c>
    </row>
    <row r="96" spans="1:4" s="110" customFormat="1" ht="13" thickBot="1" x14ac:dyDescent="0.3">
      <c r="A96" s="130" t="s">
        <v>195</v>
      </c>
      <c r="B96" s="127">
        <f>286.09+19.55</f>
        <v>305.64</v>
      </c>
      <c r="C96" s="137" t="s">
        <v>199</v>
      </c>
      <c r="D96" s="136" t="s">
        <v>196</v>
      </c>
    </row>
    <row r="97" spans="1:4" s="110" customFormat="1" x14ac:dyDescent="0.25"/>
    <row r="98" spans="1:4" s="110" customFormat="1" x14ac:dyDescent="0.25"/>
    <row r="99" spans="1:4" s="110" customFormat="1" x14ac:dyDescent="0.25"/>
    <row r="100" spans="1:4" s="110" customFormat="1" x14ac:dyDescent="0.25">
      <c r="A100" s="107"/>
      <c r="B100" s="117"/>
      <c r="C100" s="108"/>
      <c r="D100" s="109"/>
    </row>
    <row r="101" spans="1:4" s="110" customFormat="1" x14ac:dyDescent="0.25">
      <c r="A101" s="107"/>
      <c r="B101" s="117"/>
      <c r="C101" s="108"/>
      <c r="D101" s="109"/>
    </row>
    <row r="102" spans="1:4" s="110" customFormat="1" x14ac:dyDescent="0.25">
      <c r="A102" s="107"/>
      <c r="B102" s="117"/>
      <c r="C102" s="108"/>
      <c r="D102" s="109"/>
    </row>
    <row r="103" spans="1:4" s="110" customFormat="1" x14ac:dyDescent="0.25">
      <c r="A103" s="107"/>
      <c r="B103" s="117"/>
      <c r="C103" s="108"/>
      <c r="D103" s="109"/>
    </row>
    <row r="104" spans="1:4" s="110" customFormat="1" ht="12.65" customHeight="1" x14ac:dyDescent="0.25">
      <c r="A104" s="107"/>
      <c r="B104" s="117"/>
      <c r="C104" s="108"/>
      <c r="D104" s="109"/>
    </row>
    <row r="105" spans="1:4" s="110" customFormat="1" ht="12.65" customHeight="1" x14ac:dyDescent="0.25">
      <c r="A105" s="107"/>
      <c r="B105" s="117"/>
      <c r="C105" s="108"/>
      <c r="D105" s="109"/>
    </row>
    <row r="106" spans="1:4" s="110" customFormat="1" x14ac:dyDescent="0.25">
      <c r="A106" s="107"/>
      <c r="B106" s="117"/>
      <c r="C106" s="108"/>
      <c r="D106" s="109"/>
    </row>
    <row r="107" spans="1:4" s="110" customFormat="1" hidden="1" x14ac:dyDescent="0.25">
      <c r="A107" s="107"/>
      <c r="B107" s="108"/>
      <c r="C107" s="108"/>
      <c r="D107" s="109"/>
    </row>
    <row r="108" spans="1:4" ht="19.5" customHeight="1" x14ac:dyDescent="0.25">
      <c r="A108" s="43" t="s">
        <v>4</v>
      </c>
      <c r="B108" s="48">
        <f>SUM(B45:B107)</f>
        <v>13373.019999999997</v>
      </c>
      <c r="C108" s="105"/>
      <c r="D108" s="106"/>
    </row>
    <row r="109" spans="1:4" ht="5.25" customHeight="1" x14ac:dyDescent="0.25">
      <c r="A109" s="25"/>
      <c r="B109" s="71"/>
      <c r="C109" s="71"/>
      <c r="D109" s="71"/>
    </row>
    <row r="110" spans="1:4" ht="36" customHeight="1" x14ac:dyDescent="0.35">
      <c r="A110" s="159" t="s">
        <v>15</v>
      </c>
      <c r="B110" s="160"/>
      <c r="C110" s="160"/>
      <c r="D110" s="103"/>
    </row>
    <row r="111" spans="1:4" ht="25.5" customHeight="1" x14ac:dyDescent="0.3">
      <c r="A111" s="18" t="s">
        <v>0</v>
      </c>
      <c r="B111" s="2" t="s">
        <v>30</v>
      </c>
      <c r="C111" s="2" t="s">
        <v>59</v>
      </c>
      <c r="D111" s="9" t="s">
        <v>11</v>
      </c>
    </row>
    <row r="112" spans="1:4" s="110" customFormat="1" ht="15.75" hidden="1" customHeight="1" x14ac:dyDescent="0.25">
      <c r="A112" s="107"/>
      <c r="B112" s="117"/>
      <c r="C112" s="108"/>
      <c r="D112" s="109"/>
    </row>
    <row r="113" spans="1:11" s="110" customFormat="1" ht="15.75" customHeight="1" x14ac:dyDescent="0.25">
      <c r="A113" s="107" t="s">
        <v>220</v>
      </c>
      <c r="B113" s="117">
        <v>48.62</v>
      </c>
      <c r="C113" s="108" t="s">
        <v>221</v>
      </c>
      <c r="D113" s="109" t="s">
        <v>222</v>
      </c>
    </row>
    <row r="114" spans="1:11" s="110" customFormat="1" ht="12.75" customHeight="1" x14ac:dyDescent="0.25">
      <c r="A114" s="107" t="s">
        <v>112</v>
      </c>
      <c r="B114" s="117">
        <v>16.23</v>
      </c>
      <c r="C114" s="108" t="s">
        <v>113</v>
      </c>
      <c r="D114" s="109" t="s">
        <v>114</v>
      </c>
      <c r="F114" s="111"/>
      <c r="G114" s="111"/>
      <c r="H114" s="111"/>
      <c r="I114" s="111"/>
      <c r="J114" s="111"/>
      <c r="K114" s="111"/>
    </row>
    <row r="115" spans="1:11" s="110" customFormat="1" ht="12.75" customHeight="1" x14ac:dyDescent="0.25">
      <c r="A115" s="107" t="s">
        <v>112</v>
      </c>
      <c r="B115" s="117">
        <v>7.23</v>
      </c>
      <c r="C115" s="108" t="s">
        <v>115</v>
      </c>
      <c r="D115" s="109" t="s">
        <v>116</v>
      </c>
      <c r="F115" s="111"/>
      <c r="G115" s="111"/>
      <c r="H115" s="111"/>
      <c r="I115" s="111"/>
      <c r="J115" s="111"/>
      <c r="K115" s="111"/>
    </row>
    <row r="116" spans="1:11" s="110" customFormat="1" ht="12.75" customHeight="1" x14ac:dyDescent="0.25">
      <c r="A116" s="107" t="s">
        <v>124</v>
      </c>
      <c r="B116" s="117">
        <v>10.65</v>
      </c>
      <c r="C116" s="108" t="s">
        <v>125</v>
      </c>
      <c r="D116" s="109" t="s">
        <v>126</v>
      </c>
      <c r="F116" s="111"/>
      <c r="G116" s="111"/>
      <c r="H116" s="111"/>
      <c r="I116" s="111"/>
      <c r="J116" s="111"/>
      <c r="K116" s="111"/>
    </row>
    <row r="117" spans="1:11" s="110" customFormat="1" ht="12.75" customHeight="1" x14ac:dyDescent="0.25">
      <c r="A117" s="107" t="s">
        <v>139</v>
      </c>
      <c r="B117" s="117">
        <v>47.8</v>
      </c>
      <c r="C117" s="108" t="s">
        <v>193</v>
      </c>
      <c r="D117" s="109" t="s">
        <v>194</v>
      </c>
      <c r="F117" s="111"/>
      <c r="G117" s="111"/>
      <c r="H117" s="111"/>
      <c r="I117" s="111"/>
      <c r="J117" s="111"/>
      <c r="K117" s="111"/>
    </row>
    <row r="118" spans="1:11" s="110" customFormat="1" ht="12.75" customHeight="1" x14ac:dyDescent="0.25">
      <c r="A118" s="107" t="s">
        <v>139</v>
      </c>
      <c r="B118" s="117">
        <v>14.56</v>
      </c>
      <c r="C118" s="108" t="s">
        <v>141</v>
      </c>
      <c r="D118" s="109" t="s">
        <v>142</v>
      </c>
      <c r="F118" s="111"/>
      <c r="G118" s="111"/>
      <c r="H118" s="111"/>
      <c r="I118" s="111"/>
      <c r="J118" s="111"/>
      <c r="K118" s="111"/>
    </row>
    <row r="119" spans="1:11" s="110" customFormat="1" ht="12.75" customHeight="1" x14ac:dyDescent="0.25">
      <c r="A119" s="107" t="s">
        <v>148</v>
      </c>
      <c r="B119" s="117">
        <v>50.06</v>
      </c>
      <c r="C119" s="108" t="s">
        <v>140</v>
      </c>
      <c r="D119" s="109" t="s">
        <v>223</v>
      </c>
      <c r="F119" s="111"/>
      <c r="G119" s="111"/>
      <c r="H119" s="111"/>
      <c r="I119" s="111"/>
      <c r="J119" s="111"/>
      <c r="K119" s="111"/>
    </row>
    <row r="120" spans="1:11" s="110" customFormat="1" ht="12.75" customHeight="1" x14ac:dyDescent="0.25">
      <c r="A120" s="107" t="s">
        <v>148</v>
      </c>
      <c r="B120" s="117">
        <v>12.91</v>
      </c>
      <c r="C120" s="108" t="s">
        <v>149</v>
      </c>
      <c r="D120" s="109" t="s">
        <v>150</v>
      </c>
      <c r="F120" s="111"/>
      <c r="G120" s="111"/>
      <c r="H120" s="111"/>
      <c r="I120" s="111"/>
      <c r="J120" s="111"/>
      <c r="K120" s="111"/>
    </row>
    <row r="121" spans="1:11" s="110" customFormat="1" ht="12.75" customHeight="1" x14ac:dyDescent="0.25">
      <c r="A121" s="107" t="s">
        <v>209</v>
      </c>
      <c r="B121" s="117">
        <v>11.43</v>
      </c>
      <c r="C121" s="108" t="s">
        <v>210</v>
      </c>
      <c r="D121" s="109" t="s">
        <v>211</v>
      </c>
      <c r="F121" s="111"/>
      <c r="G121" s="111"/>
      <c r="H121" s="111"/>
      <c r="I121" s="111"/>
      <c r="J121" s="111"/>
      <c r="K121" s="111"/>
    </row>
    <row r="122" spans="1:11" s="110" customFormat="1" ht="12.75" customHeight="1" x14ac:dyDescent="0.25">
      <c r="A122" s="107" t="s">
        <v>177</v>
      </c>
      <c r="B122" s="117">
        <v>11.93</v>
      </c>
      <c r="C122" s="108" t="s">
        <v>125</v>
      </c>
      <c r="D122" s="109" t="s">
        <v>178</v>
      </c>
      <c r="F122" s="111"/>
      <c r="G122" s="111"/>
      <c r="H122" s="111"/>
      <c r="I122" s="111"/>
      <c r="J122" s="111"/>
      <c r="K122" s="111"/>
    </row>
    <row r="123" spans="1:11" s="110" customFormat="1" ht="12.75" customHeight="1" x14ac:dyDescent="0.25">
      <c r="A123" s="107" t="s">
        <v>180</v>
      </c>
      <c r="B123" s="117">
        <v>9.19</v>
      </c>
      <c r="C123" s="108" t="s">
        <v>125</v>
      </c>
      <c r="D123" s="109" t="s">
        <v>178</v>
      </c>
      <c r="F123" s="111"/>
      <c r="G123" s="111"/>
      <c r="H123" s="111"/>
      <c r="I123" s="111"/>
      <c r="J123" s="111"/>
      <c r="K123" s="111"/>
    </row>
    <row r="124" spans="1:11" s="110" customFormat="1" ht="12.75" customHeight="1" x14ac:dyDescent="0.25">
      <c r="A124" s="107"/>
      <c r="B124" s="117"/>
      <c r="C124" s="108"/>
      <c r="D124" s="109"/>
      <c r="F124" s="111"/>
      <c r="G124" s="111"/>
      <c r="H124" s="111"/>
      <c r="I124" s="111"/>
      <c r="J124" s="111"/>
      <c r="K124" s="111"/>
    </row>
    <row r="125" spans="1:11" s="110" customFormat="1" ht="12.75" customHeight="1" x14ac:dyDescent="0.25">
      <c r="A125" s="107"/>
      <c r="B125" s="117"/>
      <c r="C125" s="108"/>
      <c r="D125" s="109"/>
      <c r="F125" s="111"/>
      <c r="G125" s="111"/>
      <c r="H125" s="111"/>
      <c r="I125" s="111"/>
      <c r="J125" s="111"/>
      <c r="K125" s="111"/>
    </row>
    <row r="126" spans="1:11" s="110" customFormat="1" ht="12.75" customHeight="1" x14ac:dyDescent="0.25">
      <c r="A126" s="107"/>
      <c r="B126" s="117"/>
      <c r="C126" s="108"/>
      <c r="D126" s="109"/>
    </row>
    <row r="127" spans="1:11" s="110" customFormat="1" ht="12.75" hidden="1" customHeight="1" x14ac:dyDescent="0.25">
      <c r="A127" s="107"/>
      <c r="B127" s="108"/>
      <c r="C127" s="108"/>
      <c r="D127" s="109"/>
    </row>
    <row r="128" spans="1:11" ht="19.5" customHeight="1" x14ac:dyDescent="0.25">
      <c r="A128" s="43" t="s">
        <v>4</v>
      </c>
      <c r="B128" s="48">
        <f>SUM(B112:B127)</f>
        <v>240.61</v>
      </c>
      <c r="C128" s="105"/>
      <c r="D128" s="106"/>
    </row>
    <row r="129" spans="1:4" ht="5.25" customHeight="1" x14ac:dyDescent="0.25">
      <c r="A129" s="25"/>
      <c r="B129" s="71"/>
      <c r="C129" s="71"/>
      <c r="D129" s="71"/>
    </row>
    <row r="130" spans="1:4" s="7" customFormat="1" ht="34.5" customHeight="1" x14ac:dyDescent="0.25">
      <c r="A130" s="27" t="s">
        <v>7</v>
      </c>
      <c r="B130" s="49">
        <f>B41+B108+B128</f>
        <v>60024.58</v>
      </c>
      <c r="C130" s="8"/>
      <c r="D130" s="104"/>
    </row>
    <row r="131" spans="1:4" s="44" customFormat="1" ht="13" x14ac:dyDescent="0.3">
      <c r="B131" s="40"/>
      <c r="C131" s="41"/>
      <c r="D131" s="41"/>
    </row>
    <row r="132" spans="1:4" s="46" customFormat="1" ht="13" x14ac:dyDescent="0.3">
      <c r="A132" s="29" t="s">
        <v>31</v>
      </c>
      <c r="B132" s="3"/>
    </row>
    <row r="133" spans="1:4" s="46" customFormat="1" ht="12.65" customHeight="1" x14ac:dyDescent="0.25">
      <c r="A133" s="143" t="s">
        <v>32</v>
      </c>
      <c r="B133" s="143"/>
      <c r="C133" s="143"/>
    </row>
    <row r="134" spans="1:4" s="44" customFormat="1" ht="13" customHeight="1" x14ac:dyDescent="0.25">
      <c r="A134" s="144" t="s">
        <v>39</v>
      </c>
      <c r="B134" s="144"/>
      <c r="C134" s="144"/>
    </row>
    <row r="135" spans="1:4" x14ac:dyDescent="0.25">
      <c r="A135" s="36" t="s">
        <v>33</v>
      </c>
      <c r="B135" s="37"/>
      <c r="C135" s="44"/>
      <c r="D135" s="44"/>
    </row>
    <row r="136" spans="1:4" x14ac:dyDescent="0.25">
      <c r="A136" s="55" t="s">
        <v>60</v>
      </c>
      <c r="B136" s="37"/>
      <c r="C136" s="69"/>
      <c r="D136" s="69"/>
    </row>
    <row r="137" spans="1:4" x14ac:dyDescent="0.25">
      <c r="A137" s="55" t="s">
        <v>43</v>
      </c>
      <c r="B137" s="37"/>
      <c r="C137" s="53"/>
      <c r="D137" s="53"/>
    </row>
    <row r="138" spans="1:4" x14ac:dyDescent="0.25">
      <c r="A138" s="139" t="s">
        <v>44</v>
      </c>
      <c r="B138" s="139"/>
      <c r="C138" s="139"/>
      <c r="D138" s="139"/>
    </row>
    <row r="139" spans="1:4" x14ac:dyDescent="0.25">
      <c r="A139" s="25"/>
      <c r="B139" s="44"/>
      <c r="C139" s="44"/>
      <c r="D139" s="44"/>
    </row>
    <row r="140" spans="1:4" x14ac:dyDescent="0.25">
      <c r="A140" s="25"/>
      <c r="B140" s="44"/>
      <c r="C140" s="44"/>
      <c r="D140" s="44"/>
    </row>
    <row r="141" spans="1:4" x14ac:dyDescent="0.25">
      <c r="A141" s="25"/>
      <c r="B141" s="44"/>
      <c r="C141" s="44"/>
      <c r="D141" s="44"/>
    </row>
    <row r="142" spans="1:4" x14ac:dyDescent="0.25">
      <c r="A142" s="25"/>
      <c r="B142" s="44"/>
      <c r="C142" s="44"/>
      <c r="D142" s="44"/>
    </row>
    <row r="143" spans="1:4" x14ac:dyDescent="0.25">
      <c r="A143" s="25"/>
      <c r="B143" s="44"/>
      <c r="C143" s="44"/>
      <c r="D143" s="44"/>
    </row>
    <row r="144" spans="1:4" x14ac:dyDescent="0.25">
      <c r="A144" s="25"/>
      <c r="B144" s="44"/>
      <c r="C144" s="44"/>
      <c r="D144" s="44"/>
    </row>
    <row r="145" spans="1:4" x14ac:dyDescent="0.25">
      <c r="A145" s="25"/>
      <c r="B145" s="44"/>
      <c r="C145" s="44"/>
      <c r="D145" s="44"/>
    </row>
    <row r="146" spans="1:4" x14ac:dyDescent="0.25">
      <c r="A146" s="25"/>
      <c r="B146" s="44"/>
      <c r="C146" s="44"/>
      <c r="D146" s="44"/>
    </row>
    <row r="147" spans="1:4" x14ac:dyDescent="0.25">
      <c r="A147" s="25"/>
      <c r="B147" s="44"/>
      <c r="C147" s="44"/>
      <c r="D147" s="44"/>
    </row>
    <row r="148" spans="1:4" x14ac:dyDescent="0.25">
      <c r="A148" s="25"/>
      <c r="B148" s="44"/>
      <c r="C148" s="44"/>
      <c r="D148" s="44"/>
    </row>
    <row r="149" spans="1:4" x14ac:dyDescent="0.25">
      <c r="A149" s="25"/>
      <c r="B149" s="44"/>
      <c r="C149" s="44"/>
      <c r="D149" s="44"/>
    </row>
  </sheetData>
  <sheetProtection sheet="1" objects="1" scenarios="1" formatCells="0" formatColumns="0" formatRows="0" insertColumns="0" insertRows="0"/>
  <mergeCells count="12">
    <mergeCell ref="A138:D138"/>
    <mergeCell ref="A1:D1"/>
    <mergeCell ref="A133:C133"/>
    <mergeCell ref="A134:C134"/>
    <mergeCell ref="A7:D7"/>
    <mergeCell ref="B2:D2"/>
    <mergeCell ref="B3:D3"/>
    <mergeCell ref="B4:D4"/>
    <mergeCell ref="A5:D5"/>
    <mergeCell ref="A6:D6"/>
    <mergeCell ref="A43:C43"/>
    <mergeCell ref="A110:C110"/>
  </mergeCells>
  <printOptions gridLines="1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 alignWithMargins="0"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opLeftCell="A7" zoomScale="87" zoomScaleNormal="87" workbookViewId="0">
      <selection activeCell="C11" sqref="C11"/>
    </sheetView>
  </sheetViews>
  <sheetFormatPr defaultColWidth="9.08984375" defaultRowHeight="12.5" x14ac:dyDescent="0.25"/>
  <cols>
    <col min="1" max="1" width="27.6328125" style="14" customWidth="1"/>
    <col min="2" max="2" width="23.6328125" style="14" customWidth="1"/>
    <col min="3" max="6" width="27.6328125" style="14" customWidth="1"/>
    <col min="7" max="16384" width="9.08984375" style="15"/>
  </cols>
  <sheetData>
    <row r="1" spans="1:7" ht="36" customHeight="1" x14ac:dyDescent="0.25">
      <c r="A1" s="166" t="s">
        <v>24</v>
      </c>
      <c r="B1" s="166"/>
      <c r="C1" s="166"/>
      <c r="D1" s="166"/>
      <c r="E1" s="166"/>
      <c r="F1" s="166"/>
    </row>
    <row r="2" spans="1:7" ht="36" customHeight="1" x14ac:dyDescent="0.25">
      <c r="A2" s="31" t="s">
        <v>8</v>
      </c>
      <c r="B2" s="170" t="str">
        <f>Travel!B2</f>
        <v>Inland Revenue</v>
      </c>
      <c r="C2" s="170"/>
      <c r="D2" s="170"/>
      <c r="E2" s="170"/>
      <c r="F2" s="170"/>
      <c r="G2" s="32"/>
    </row>
    <row r="3" spans="1:7" ht="36" customHeight="1" x14ac:dyDescent="0.25">
      <c r="A3" s="31" t="s">
        <v>9</v>
      </c>
      <c r="B3" s="171" t="str">
        <f>Travel!B3</f>
        <v>Naomi Ferguson</v>
      </c>
      <c r="C3" s="171"/>
      <c r="D3" s="171"/>
      <c r="E3" s="171"/>
      <c r="F3" s="171"/>
      <c r="G3" s="33"/>
    </row>
    <row r="4" spans="1:7" ht="36" customHeight="1" x14ac:dyDescent="0.25">
      <c r="A4" s="31" t="s">
        <v>3</v>
      </c>
      <c r="B4" s="171" t="str">
        <f>Travel!B4</f>
        <v xml:space="preserve">1 July 2017 to 30 June 2018 </v>
      </c>
      <c r="C4" s="171"/>
      <c r="D4" s="171"/>
      <c r="E4" s="171"/>
      <c r="F4" s="171"/>
      <c r="G4" s="33"/>
    </row>
    <row r="5" spans="1:7" s="13" customFormat="1" ht="36" customHeight="1" x14ac:dyDescent="0.35">
      <c r="A5" s="172" t="s">
        <v>45</v>
      </c>
      <c r="B5" s="173"/>
      <c r="C5" s="174"/>
      <c r="D5" s="174"/>
      <c r="E5" s="174"/>
      <c r="F5" s="175"/>
    </row>
    <row r="6" spans="1:7" s="13" customFormat="1" ht="19.5" customHeight="1" x14ac:dyDescent="0.35">
      <c r="A6" s="167" t="s">
        <v>61</v>
      </c>
      <c r="B6" s="168"/>
      <c r="C6" s="168"/>
      <c r="D6" s="168"/>
      <c r="E6" s="168"/>
      <c r="F6" s="169"/>
    </row>
    <row r="7" spans="1:7" s="3" customFormat="1" ht="36" customHeight="1" x14ac:dyDescent="0.35">
      <c r="A7" s="163" t="s">
        <v>21</v>
      </c>
      <c r="B7" s="164"/>
      <c r="C7" s="96"/>
      <c r="D7" s="96"/>
      <c r="E7" s="96"/>
      <c r="F7" s="97"/>
    </row>
    <row r="8" spans="1:7" ht="26" x14ac:dyDescent="0.3">
      <c r="A8" s="18" t="s">
        <v>0</v>
      </c>
      <c r="B8" s="26" t="s">
        <v>40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s="101" customFormat="1" ht="16.5" hidden="1" customHeight="1" x14ac:dyDescent="0.25">
      <c r="A9" s="114"/>
      <c r="B9" s="119"/>
      <c r="C9" s="115"/>
      <c r="D9" s="115"/>
      <c r="E9" s="115"/>
      <c r="F9" s="116"/>
    </row>
    <row r="10" spans="1:7" s="101" customFormat="1" x14ac:dyDescent="0.25">
      <c r="A10" s="114" t="s">
        <v>67</v>
      </c>
      <c r="B10" s="119"/>
      <c r="C10" s="115"/>
      <c r="D10" s="115"/>
      <c r="E10" s="115"/>
      <c r="F10" s="116"/>
    </row>
    <row r="11" spans="1:7" s="101" customFormat="1" ht="12.75" customHeight="1" x14ac:dyDescent="0.3">
      <c r="A11" s="75"/>
      <c r="B11" s="120"/>
      <c r="C11" s="86" t="s">
        <v>70</v>
      </c>
      <c r="D11" s="76"/>
      <c r="E11" s="76"/>
      <c r="F11" s="77"/>
    </row>
    <row r="12" spans="1:7" s="101" customFormat="1" ht="12.75" customHeight="1" x14ac:dyDescent="0.25">
      <c r="A12" s="113" t="s">
        <v>34</v>
      </c>
      <c r="B12" s="120"/>
      <c r="C12" s="76"/>
      <c r="D12" s="76"/>
      <c r="E12" s="76"/>
      <c r="F12" s="77"/>
    </row>
    <row r="13" spans="1:7" s="101" customFormat="1" ht="12.75" customHeight="1" x14ac:dyDescent="0.25">
      <c r="A13" s="75"/>
      <c r="B13" s="120"/>
      <c r="C13" s="76"/>
      <c r="D13" s="76"/>
      <c r="E13" s="76"/>
      <c r="F13" s="77"/>
    </row>
    <row r="14" spans="1:7" s="101" customFormat="1" ht="12.75" customHeight="1" x14ac:dyDescent="0.25">
      <c r="A14" s="75"/>
      <c r="B14" s="120"/>
      <c r="C14" s="76"/>
      <c r="D14" s="76"/>
      <c r="E14" s="76"/>
      <c r="F14" s="77"/>
    </row>
    <row r="15" spans="1:7" s="101" customFormat="1" hidden="1" x14ac:dyDescent="0.25">
      <c r="A15" s="75"/>
      <c r="B15" s="76"/>
      <c r="C15" s="76"/>
      <c r="D15" s="76"/>
      <c r="E15" s="76"/>
      <c r="F15" s="77"/>
    </row>
    <row r="16" spans="1:7" ht="27.75" customHeight="1" x14ac:dyDescent="0.25">
      <c r="A16" s="45" t="s">
        <v>22</v>
      </c>
      <c r="B16" s="50">
        <f>SUM(B9:B15)</f>
        <v>0</v>
      </c>
      <c r="C16" s="19"/>
      <c r="D16" s="20"/>
      <c r="E16" s="20"/>
      <c r="F16" s="21"/>
    </row>
    <row r="17" spans="1:6" ht="13" x14ac:dyDescent="0.3">
      <c r="A17" s="58"/>
      <c r="B17" s="64"/>
      <c r="C17" s="64"/>
      <c r="D17" s="64"/>
      <c r="E17" s="64"/>
      <c r="F17" s="65"/>
    </row>
    <row r="18" spans="1:6" ht="13" x14ac:dyDescent="0.3">
      <c r="A18" s="28" t="s">
        <v>31</v>
      </c>
      <c r="B18" s="3"/>
      <c r="C18" s="71"/>
      <c r="D18" s="70"/>
      <c r="E18" s="70"/>
      <c r="F18" s="73"/>
    </row>
    <row r="19" spans="1:6" x14ac:dyDescent="0.25">
      <c r="A19" s="176" t="s">
        <v>65</v>
      </c>
      <c r="B19" s="177"/>
      <c r="C19" s="177"/>
      <c r="D19" s="177"/>
      <c r="E19" s="177"/>
      <c r="F19" s="178"/>
    </row>
    <row r="20" spans="1:6" x14ac:dyDescent="0.25">
      <c r="A20" s="165" t="s">
        <v>56</v>
      </c>
      <c r="B20" s="143"/>
      <c r="C20" s="143"/>
      <c r="D20" s="70"/>
      <c r="E20" s="70"/>
      <c r="F20" s="73"/>
    </row>
    <row r="21" spans="1:6" x14ac:dyDescent="0.25">
      <c r="A21" s="36" t="s">
        <v>41</v>
      </c>
      <c r="B21" s="37"/>
      <c r="C21" s="71"/>
      <c r="D21" s="70"/>
      <c r="E21" s="70"/>
      <c r="F21" s="73"/>
    </row>
    <row r="22" spans="1:6" x14ac:dyDescent="0.25">
      <c r="A22" s="36" t="s">
        <v>53</v>
      </c>
      <c r="B22" s="37"/>
      <c r="C22" s="71"/>
      <c r="D22" s="71"/>
      <c r="E22" s="71"/>
      <c r="F22" s="10"/>
    </row>
    <row r="23" spans="1:6" ht="12.75" customHeight="1" x14ac:dyDescent="0.25">
      <c r="A23" s="161" t="s">
        <v>44</v>
      </c>
      <c r="B23" s="162"/>
      <c r="C23" s="99"/>
      <c r="D23" s="99"/>
      <c r="E23" s="99"/>
      <c r="F23" s="100"/>
    </row>
    <row r="24" spans="1:6" x14ac:dyDescent="0.25">
      <c r="A24" s="47"/>
      <c r="B24" s="47"/>
      <c r="C24" s="47"/>
      <c r="D24" s="47"/>
      <c r="E24" s="47"/>
      <c r="F24" s="47"/>
    </row>
    <row r="25" spans="1:6" x14ac:dyDescent="0.25">
      <c r="A25" s="47"/>
      <c r="B25" s="47"/>
      <c r="C25" s="47"/>
      <c r="D25" s="47"/>
      <c r="E25" s="47"/>
      <c r="F25" s="47"/>
    </row>
    <row r="26" spans="1:6" x14ac:dyDescent="0.25">
      <c r="A26" s="47"/>
      <c r="B26" s="47"/>
      <c r="C26" s="47"/>
      <c r="D26" s="47"/>
      <c r="E26" s="47"/>
      <c r="F26" s="47"/>
    </row>
    <row r="27" spans="1:6" x14ac:dyDescent="0.25">
      <c r="A27" s="47"/>
      <c r="B27" s="47"/>
      <c r="C27" s="47"/>
      <c r="D27" s="47"/>
      <c r="E27" s="47"/>
      <c r="F27" s="47"/>
    </row>
    <row r="28" spans="1:6" x14ac:dyDescent="0.25">
      <c r="A28" s="47"/>
      <c r="B28" s="47"/>
      <c r="C28" s="47"/>
      <c r="D28" s="47"/>
      <c r="E28" s="47"/>
      <c r="F28" s="47"/>
    </row>
  </sheetData>
  <sheetProtection sheet="1" formatCells="0" formatColumns="0" formatRows="0" insertColumns="0" insertRows="0"/>
  <mergeCells count="10">
    <mergeCell ref="A23:B23"/>
    <mergeCell ref="A7:B7"/>
    <mergeCell ref="A20:C20"/>
    <mergeCell ref="A1:F1"/>
    <mergeCell ref="A6:F6"/>
    <mergeCell ref="B2:F2"/>
    <mergeCell ref="B3:F3"/>
    <mergeCell ref="B4:F4"/>
    <mergeCell ref="A5:F5"/>
    <mergeCell ref="A19:F19"/>
  </mergeCells>
  <printOptions gridLines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 alignWithMargins="0">
    <oddHeader>&amp;C&amp;"Calibri"&amp;10&amp;K000000[IN CONFIDENCE RELEASE EXTERNAL]&amp;1#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"/>
  <sheetViews>
    <sheetView topLeftCell="A16" zoomScaleNormal="100" workbookViewId="0">
      <selection activeCell="E22" sqref="E22"/>
    </sheetView>
  </sheetViews>
  <sheetFormatPr defaultColWidth="9.08984375" defaultRowHeight="13" x14ac:dyDescent="0.3"/>
  <cols>
    <col min="1" max="5" width="27.6328125" style="23" customWidth="1"/>
    <col min="6" max="16384" width="9.08984375" style="24"/>
  </cols>
  <sheetData>
    <row r="1" spans="1:7" ht="36" customHeight="1" x14ac:dyDescent="0.3">
      <c r="A1" s="166" t="s">
        <v>24</v>
      </c>
      <c r="B1" s="166"/>
      <c r="C1" s="166"/>
      <c r="D1" s="166"/>
      <c r="E1" s="166"/>
      <c r="F1" s="51"/>
    </row>
    <row r="2" spans="1:7" ht="36" customHeight="1" x14ac:dyDescent="0.3">
      <c r="A2" s="31" t="s">
        <v>8</v>
      </c>
      <c r="B2" s="170" t="str">
        <f>Travel!B2</f>
        <v>Inland Revenue</v>
      </c>
      <c r="C2" s="170"/>
      <c r="D2" s="170"/>
      <c r="E2" s="170"/>
      <c r="F2" s="32"/>
      <c r="G2" s="32"/>
    </row>
    <row r="3" spans="1:7" ht="36" customHeight="1" x14ac:dyDescent="0.3">
      <c r="A3" s="31" t="s">
        <v>9</v>
      </c>
      <c r="B3" s="171" t="str">
        <f>Travel!B3</f>
        <v>Naomi Ferguson</v>
      </c>
      <c r="C3" s="171"/>
      <c r="D3" s="171"/>
      <c r="E3" s="171"/>
      <c r="F3" s="33"/>
      <c r="G3" s="33"/>
    </row>
    <row r="4" spans="1:7" ht="36" customHeight="1" x14ac:dyDescent="0.3">
      <c r="A4" s="31" t="s">
        <v>3</v>
      </c>
      <c r="B4" s="171" t="str">
        <f>Travel!B4</f>
        <v xml:space="preserve">1 July 2017 to 30 June 2018 </v>
      </c>
      <c r="C4" s="171"/>
      <c r="D4" s="171"/>
      <c r="E4" s="171"/>
      <c r="F4" s="33"/>
      <c r="G4" s="33"/>
    </row>
    <row r="5" spans="1:7" ht="36" customHeight="1" x14ac:dyDescent="0.3">
      <c r="A5" s="187" t="s">
        <v>46</v>
      </c>
      <c r="B5" s="188"/>
      <c r="C5" s="188"/>
      <c r="D5" s="188"/>
      <c r="E5" s="189"/>
    </row>
    <row r="6" spans="1:7" ht="20.149999999999999" customHeight="1" x14ac:dyDescent="0.3">
      <c r="A6" s="185" t="s">
        <v>54</v>
      </c>
      <c r="B6" s="185"/>
      <c r="C6" s="185"/>
      <c r="D6" s="185"/>
      <c r="E6" s="186"/>
      <c r="F6" s="34"/>
      <c r="G6" s="34"/>
    </row>
    <row r="7" spans="1:7" ht="36" customHeight="1" x14ac:dyDescent="0.35">
      <c r="A7" s="22" t="s">
        <v>19</v>
      </c>
      <c r="B7" s="5"/>
      <c r="C7" s="5"/>
      <c r="D7" s="5"/>
      <c r="E7" s="17"/>
    </row>
    <row r="8" spans="1:7" ht="26" x14ac:dyDescent="0.3">
      <c r="A8" s="18" t="s">
        <v>0</v>
      </c>
      <c r="B8" s="2" t="s">
        <v>42</v>
      </c>
      <c r="C8" s="2" t="s">
        <v>35</v>
      </c>
      <c r="D8" s="2" t="s">
        <v>48</v>
      </c>
      <c r="E8" s="9" t="s">
        <v>63</v>
      </c>
    </row>
    <row r="9" spans="1:7" s="101" customFormat="1" ht="15.75" hidden="1" customHeight="1" x14ac:dyDescent="0.25">
      <c r="A9" s="114"/>
      <c r="B9" s="115"/>
      <c r="C9" s="115"/>
      <c r="D9" s="121"/>
      <c r="E9" s="116"/>
    </row>
    <row r="10" spans="1:7" s="84" customFormat="1" ht="25.5" x14ac:dyDescent="0.3">
      <c r="A10" s="122">
        <v>43019</v>
      </c>
      <c r="B10" s="76" t="s">
        <v>78</v>
      </c>
      <c r="C10" s="76" t="s">
        <v>72</v>
      </c>
      <c r="D10" s="120">
        <v>100</v>
      </c>
      <c r="E10" s="76" t="s">
        <v>233</v>
      </c>
    </row>
    <row r="11" spans="1:7" s="84" customFormat="1" ht="25.5" x14ac:dyDescent="0.3">
      <c r="A11" s="122">
        <v>43032</v>
      </c>
      <c r="B11" s="76" t="s">
        <v>73</v>
      </c>
      <c r="C11" s="76" t="s">
        <v>74</v>
      </c>
      <c r="D11" s="120">
        <v>50</v>
      </c>
      <c r="E11" s="77" t="s">
        <v>235</v>
      </c>
    </row>
    <row r="12" spans="1:7" s="84" customFormat="1" ht="25.5" x14ac:dyDescent="0.3">
      <c r="A12" s="122">
        <v>43048</v>
      </c>
      <c r="B12" s="76" t="s">
        <v>78</v>
      </c>
      <c r="C12" s="76" t="s">
        <v>75</v>
      </c>
      <c r="D12" s="120">
        <v>100</v>
      </c>
      <c r="E12" s="77" t="s">
        <v>234</v>
      </c>
    </row>
    <row r="13" spans="1:7" s="84" customFormat="1" ht="25.5" x14ac:dyDescent="0.3">
      <c r="A13" s="122">
        <v>43074</v>
      </c>
      <c r="B13" s="76" t="s">
        <v>79</v>
      </c>
      <c r="C13" s="76" t="s">
        <v>76</v>
      </c>
      <c r="D13" s="120">
        <v>100</v>
      </c>
      <c r="E13" s="77" t="s">
        <v>77</v>
      </c>
    </row>
    <row r="14" spans="1:7" s="84" customFormat="1" ht="25.5" x14ac:dyDescent="0.3">
      <c r="A14" s="122">
        <v>43068</v>
      </c>
      <c r="B14" s="76" t="s">
        <v>80</v>
      </c>
      <c r="C14" s="76" t="s">
        <v>85</v>
      </c>
      <c r="D14" s="120">
        <v>50</v>
      </c>
      <c r="E14" s="77" t="s">
        <v>86</v>
      </c>
    </row>
    <row r="15" spans="1:7" s="84" customFormat="1" ht="25.5" x14ac:dyDescent="0.3">
      <c r="A15" s="122">
        <v>43068</v>
      </c>
      <c r="B15" s="76" t="s">
        <v>81</v>
      </c>
      <c r="C15" s="76" t="s">
        <v>82</v>
      </c>
      <c r="D15" s="120">
        <v>100</v>
      </c>
      <c r="E15" s="77" t="s">
        <v>86</v>
      </c>
    </row>
    <row r="16" spans="1:7" s="84" customFormat="1" ht="25.5" x14ac:dyDescent="0.3">
      <c r="A16" s="122">
        <v>43068</v>
      </c>
      <c r="B16" s="76" t="s">
        <v>83</v>
      </c>
      <c r="C16" s="76" t="s">
        <v>84</v>
      </c>
      <c r="D16" s="120">
        <v>100</v>
      </c>
      <c r="E16" s="77" t="s">
        <v>86</v>
      </c>
    </row>
    <row r="17" spans="1:5" s="84" customFormat="1" ht="25.5" x14ac:dyDescent="0.3">
      <c r="A17" s="122">
        <v>43068</v>
      </c>
      <c r="B17" s="76" t="s">
        <v>87</v>
      </c>
      <c r="C17" s="76" t="s">
        <v>88</v>
      </c>
      <c r="D17" s="120">
        <v>100</v>
      </c>
      <c r="E17" s="77" t="s">
        <v>86</v>
      </c>
    </row>
    <row r="18" spans="1:5" s="84" customFormat="1" ht="25.5" x14ac:dyDescent="0.3">
      <c r="A18" s="122">
        <v>43068</v>
      </c>
      <c r="B18" s="76" t="s">
        <v>89</v>
      </c>
      <c r="C18" s="76" t="s">
        <v>90</v>
      </c>
      <c r="D18" s="120">
        <v>100</v>
      </c>
      <c r="E18" s="77" t="s">
        <v>86</v>
      </c>
    </row>
    <row r="19" spans="1:5" s="84" customFormat="1" ht="25.5" x14ac:dyDescent="0.3">
      <c r="A19" s="122">
        <v>43068</v>
      </c>
      <c r="B19" s="76" t="s">
        <v>92</v>
      </c>
      <c r="C19" s="133" t="s">
        <v>91</v>
      </c>
      <c r="D19" s="120">
        <v>100</v>
      </c>
      <c r="E19" s="77" t="s">
        <v>86</v>
      </c>
    </row>
    <row r="20" spans="1:5" s="84" customFormat="1" ht="25.5" x14ac:dyDescent="0.3">
      <c r="A20" s="122">
        <v>43160</v>
      </c>
      <c r="B20" s="76" t="s">
        <v>236</v>
      </c>
      <c r="C20" s="76" t="s">
        <v>93</v>
      </c>
      <c r="D20" s="120">
        <v>50</v>
      </c>
      <c r="E20" s="77" t="s">
        <v>94</v>
      </c>
    </row>
    <row r="21" spans="1:5" s="84" customFormat="1" ht="25.5" x14ac:dyDescent="0.3">
      <c r="A21" s="138">
        <v>43186</v>
      </c>
      <c r="B21" s="76" t="s">
        <v>236</v>
      </c>
      <c r="C21" s="101" t="s">
        <v>238</v>
      </c>
      <c r="D21" s="120">
        <v>50</v>
      </c>
      <c r="E21" s="77" t="s">
        <v>239</v>
      </c>
    </row>
    <row r="22" spans="1:5" s="84" customFormat="1" ht="38" x14ac:dyDescent="0.3">
      <c r="A22" s="122">
        <v>42844</v>
      </c>
      <c r="B22" s="76" t="s">
        <v>95</v>
      </c>
      <c r="C22" s="76" t="s">
        <v>96</v>
      </c>
      <c r="D22" s="120">
        <v>100</v>
      </c>
      <c r="E22" s="77" t="s">
        <v>237</v>
      </c>
    </row>
    <row r="23" spans="1:5" s="84" customFormat="1" x14ac:dyDescent="0.3">
      <c r="A23" s="122">
        <v>42878</v>
      </c>
      <c r="B23" s="76" t="s">
        <v>97</v>
      </c>
      <c r="C23" s="76" t="s">
        <v>98</v>
      </c>
      <c r="D23" s="120">
        <v>100</v>
      </c>
      <c r="E23" s="77" t="s">
        <v>99</v>
      </c>
    </row>
    <row r="24" spans="1:5" s="84" customFormat="1" x14ac:dyDescent="0.3">
      <c r="A24" s="122">
        <v>43245</v>
      </c>
      <c r="B24" s="76" t="s">
        <v>71</v>
      </c>
      <c r="C24" s="76" t="s">
        <v>100</v>
      </c>
      <c r="D24" s="120">
        <v>80</v>
      </c>
      <c r="E24" s="77" t="s">
        <v>101</v>
      </c>
    </row>
    <row r="25" spans="1:5" s="84" customFormat="1" x14ac:dyDescent="0.3">
      <c r="A25" s="122"/>
      <c r="B25" s="76"/>
      <c r="C25" s="76"/>
      <c r="D25" s="120"/>
      <c r="E25" s="77"/>
    </row>
    <row r="26" spans="1:5" s="84" customFormat="1" x14ac:dyDescent="0.3">
      <c r="A26" s="122" t="s">
        <v>102</v>
      </c>
      <c r="B26" s="76"/>
      <c r="C26" s="76"/>
      <c r="D26" s="120"/>
      <c r="E26" s="77"/>
    </row>
    <row r="27" spans="1:5" s="84" customFormat="1" x14ac:dyDescent="0.3">
      <c r="A27" s="122"/>
      <c r="B27" s="76"/>
      <c r="C27" s="76"/>
      <c r="D27" s="120"/>
      <c r="E27" s="77"/>
    </row>
    <row r="28" spans="1:5" s="84" customFormat="1" x14ac:dyDescent="0.3">
      <c r="A28" s="75"/>
      <c r="B28" s="76"/>
      <c r="C28" s="76"/>
      <c r="D28" s="120"/>
      <c r="E28" s="77"/>
    </row>
    <row r="29" spans="1:5" s="84" customFormat="1" x14ac:dyDescent="0.3">
      <c r="A29" s="75"/>
      <c r="B29" s="76"/>
      <c r="C29" s="76"/>
      <c r="D29" s="120"/>
      <c r="E29" s="77"/>
    </row>
    <row r="30" spans="1:5" s="84" customFormat="1" x14ac:dyDescent="0.3">
      <c r="A30" s="75"/>
      <c r="B30" s="76"/>
      <c r="C30" s="76"/>
      <c r="D30" s="120"/>
      <c r="E30" s="77"/>
    </row>
    <row r="31" spans="1:5" s="84" customFormat="1" x14ac:dyDescent="0.3">
      <c r="A31" s="75"/>
      <c r="B31" s="76"/>
      <c r="C31" s="76"/>
      <c r="D31" s="120"/>
      <c r="E31" s="77"/>
    </row>
    <row r="32" spans="1:5" s="84" customFormat="1" x14ac:dyDescent="0.3">
      <c r="A32" s="75"/>
      <c r="B32" s="76"/>
      <c r="C32" s="76"/>
      <c r="D32" s="120"/>
      <c r="E32" s="77"/>
    </row>
    <row r="33" spans="1:14" s="84" customFormat="1" x14ac:dyDescent="0.3">
      <c r="A33" s="75"/>
      <c r="B33" s="76"/>
      <c r="C33" s="76"/>
      <c r="D33" s="120"/>
      <c r="E33" s="77"/>
    </row>
    <row r="34" spans="1:14" s="84" customFormat="1" x14ac:dyDescent="0.3">
      <c r="A34" s="75"/>
      <c r="B34" s="76"/>
      <c r="C34" s="76"/>
      <c r="D34" s="120"/>
      <c r="E34" s="77"/>
    </row>
    <row r="35" spans="1:14" s="84" customFormat="1" x14ac:dyDescent="0.3">
      <c r="A35" s="75"/>
      <c r="B35" s="76"/>
      <c r="C35" s="76"/>
      <c r="D35" s="120"/>
      <c r="E35" s="77"/>
    </row>
    <row r="36" spans="1:14" s="84" customFormat="1" x14ac:dyDescent="0.3">
      <c r="A36" s="78" t="s">
        <v>34</v>
      </c>
      <c r="B36" s="76"/>
      <c r="C36" s="76"/>
      <c r="D36" s="120"/>
      <c r="E36" s="77"/>
    </row>
    <row r="37" spans="1:14" s="84" customFormat="1" x14ac:dyDescent="0.3">
      <c r="A37" s="75"/>
      <c r="B37" s="76"/>
      <c r="C37" s="76"/>
      <c r="D37" s="120"/>
      <c r="E37" s="77"/>
      <c r="N37" s="88"/>
    </row>
    <row r="38" spans="1:14" s="84" customFormat="1" x14ac:dyDescent="0.3">
      <c r="A38" s="75"/>
      <c r="B38" s="76"/>
      <c r="C38" s="76"/>
      <c r="D38" s="120"/>
      <c r="E38" s="77"/>
    </row>
    <row r="39" spans="1:14" s="84" customFormat="1" hidden="1" x14ac:dyDescent="0.3">
      <c r="A39" s="85"/>
      <c r="B39" s="86"/>
      <c r="C39" s="86"/>
      <c r="D39" s="86"/>
      <c r="E39" s="87"/>
    </row>
    <row r="40" spans="1:14" ht="28" customHeight="1" x14ac:dyDescent="0.3">
      <c r="A40" s="45" t="s">
        <v>23</v>
      </c>
      <c r="B40" s="83" t="s">
        <v>18</v>
      </c>
      <c r="C40" s="89">
        <f>COUNTIF(B9:B39,"*")</f>
        <v>15</v>
      </c>
      <c r="D40" s="81">
        <f>SUM(D9:D39)</f>
        <v>1280</v>
      </c>
      <c r="E40" s="82"/>
    </row>
    <row r="41" spans="1:14" x14ac:dyDescent="0.3">
      <c r="A41" s="98"/>
      <c r="B41" s="59"/>
      <c r="C41" s="64"/>
      <c r="D41" s="40"/>
      <c r="E41" s="65"/>
    </row>
    <row r="42" spans="1:14" x14ac:dyDescent="0.3">
      <c r="A42" s="28" t="s">
        <v>25</v>
      </c>
      <c r="B42" s="29"/>
      <c r="C42" s="29"/>
      <c r="D42" s="29"/>
      <c r="E42" s="30"/>
    </row>
    <row r="43" spans="1:14" x14ac:dyDescent="0.3">
      <c r="A43" s="165" t="s">
        <v>56</v>
      </c>
      <c r="B43" s="143"/>
      <c r="C43" s="143"/>
      <c r="D43" s="29"/>
      <c r="E43" s="30"/>
    </row>
    <row r="44" spans="1:14" x14ac:dyDescent="0.3">
      <c r="A44" s="179" t="s">
        <v>47</v>
      </c>
      <c r="B44" s="180"/>
      <c r="C44" s="180"/>
      <c r="D44" s="180"/>
      <c r="E44" s="181"/>
    </row>
    <row r="45" spans="1:14" x14ac:dyDescent="0.3">
      <c r="A45" s="79" t="s">
        <v>64</v>
      </c>
      <c r="B45" s="24"/>
      <c r="C45" s="24"/>
      <c r="D45" s="24"/>
      <c r="E45" s="80"/>
    </row>
    <row r="46" spans="1:14" ht="26.15" customHeight="1" x14ac:dyDescent="0.3">
      <c r="A46" s="165" t="s">
        <v>62</v>
      </c>
      <c r="B46" s="143"/>
      <c r="C46" s="143"/>
      <c r="D46" s="143"/>
      <c r="E46" s="184"/>
    </row>
    <row r="47" spans="1:14" x14ac:dyDescent="0.3">
      <c r="A47" s="36" t="s">
        <v>49</v>
      </c>
      <c r="B47" s="29"/>
      <c r="C47" s="29"/>
      <c r="D47" s="29"/>
      <c r="E47" s="30"/>
    </row>
    <row r="48" spans="1:14" x14ac:dyDescent="0.3">
      <c r="A48" s="36" t="s">
        <v>50</v>
      </c>
      <c r="B48" s="37"/>
      <c r="C48" s="71"/>
      <c r="D48" s="71"/>
      <c r="E48" s="10"/>
      <c r="F48" s="53"/>
    </row>
    <row r="49" spans="1:6" ht="12.75" customHeight="1" x14ac:dyDescent="0.3">
      <c r="A49" s="182" t="s">
        <v>44</v>
      </c>
      <c r="B49" s="183"/>
      <c r="C49" s="72"/>
      <c r="D49" s="72"/>
      <c r="E49" s="57"/>
      <c r="F49" s="56"/>
    </row>
    <row r="50" spans="1:6" x14ac:dyDescent="0.3">
      <c r="A50" s="60"/>
      <c r="B50" s="61"/>
      <c r="C50" s="61"/>
      <c r="D50" s="61"/>
      <c r="E50" s="62"/>
    </row>
  </sheetData>
  <sheetProtection sheet="1" objects="1" scenarios="1" formatCells="0" formatColumns="0" formatRows="0" insertColumns="0" insertRows="0"/>
  <mergeCells count="10">
    <mergeCell ref="A44:E44"/>
    <mergeCell ref="A49:B49"/>
    <mergeCell ref="A1:E1"/>
    <mergeCell ref="A43:C43"/>
    <mergeCell ref="A46:E46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zoomScaleNormal="100" workbookViewId="0">
      <selection activeCell="G8" sqref="G7:G8"/>
    </sheetView>
  </sheetViews>
  <sheetFormatPr defaultColWidth="9.08984375" defaultRowHeight="12.5" x14ac:dyDescent="0.25"/>
  <cols>
    <col min="1" max="1" width="27.6328125" style="11" customWidth="1"/>
    <col min="2" max="2" width="23.6328125" style="11" customWidth="1"/>
    <col min="3" max="5" width="27.6328125" style="11" customWidth="1"/>
    <col min="6" max="16384" width="9.08984375" style="12"/>
  </cols>
  <sheetData>
    <row r="1" spans="1:5" ht="36" customHeight="1" x14ac:dyDescent="0.25">
      <c r="A1" s="166" t="s">
        <v>24</v>
      </c>
      <c r="B1" s="166"/>
      <c r="C1" s="166"/>
      <c r="D1" s="166"/>
      <c r="E1" s="166"/>
    </row>
    <row r="2" spans="1:5" ht="36" customHeight="1" x14ac:dyDescent="0.25">
      <c r="A2" s="31" t="s">
        <v>8</v>
      </c>
      <c r="B2" s="170" t="str">
        <f>Travel!B2</f>
        <v>Inland Revenue</v>
      </c>
      <c r="C2" s="170"/>
      <c r="D2" s="170"/>
      <c r="E2" s="170"/>
    </row>
    <row r="3" spans="1:5" ht="36" customHeight="1" x14ac:dyDescent="0.25">
      <c r="A3" s="31" t="s">
        <v>9</v>
      </c>
      <c r="B3" s="171" t="str">
        <f>Travel!B3</f>
        <v>Naomi Ferguson</v>
      </c>
      <c r="C3" s="171"/>
      <c r="D3" s="171"/>
      <c r="E3" s="171"/>
    </row>
    <row r="4" spans="1:5" ht="36" customHeight="1" x14ac:dyDescent="0.25">
      <c r="A4" s="95" t="s">
        <v>3</v>
      </c>
      <c r="B4" s="190" t="str">
        <f>Travel!B4</f>
        <v xml:space="preserve">1 July 2017 to 30 June 2018 </v>
      </c>
      <c r="C4" s="190"/>
      <c r="D4" s="190"/>
      <c r="E4" s="190"/>
    </row>
    <row r="5" spans="1:5" ht="36" customHeight="1" x14ac:dyDescent="0.25">
      <c r="A5" s="151" t="s">
        <v>52</v>
      </c>
      <c r="B5" s="192"/>
      <c r="C5" s="174"/>
      <c r="D5" s="174"/>
      <c r="E5" s="175"/>
    </row>
    <row r="6" spans="1:5" ht="19.5" customHeight="1" x14ac:dyDescent="0.25">
      <c r="A6" s="191" t="s">
        <v>51</v>
      </c>
      <c r="B6" s="185"/>
      <c r="C6" s="185"/>
      <c r="D6" s="185"/>
      <c r="E6" s="186"/>
    </row>
    <row r="7" spans="1:5" ht="36" customHeight="1" x14ac:dyDescent="0.35">
      <c r="A7" s="145" t="s">
        <v>6</v>
      </c>
      <c r="B7" s="146"/>
      <c r="C7" s="96"/>
      <c r="D7" s="96"/>
      <c r="E7" s="97"/>
    </row>
    <row r="8" spans="1:5" ht="26" x14ac:dyDescent="0.3">
      <c r="A8" s="18" t="s">
        <v>0</v>
      </c>
      <c r="B8" s="2" t="s">
        <v>37</v>
      </c>
      <c r="C8" s="2" t="s">
        <v>36</v>
      </c>
      <c r="D8" s="2" t="s">
        <v>28</v>
      </c>
      <c r="E8" s="9" t="s">
        <v>2</v>
      </c>
    </row>
    <row r="9" spans="1:5" s="74" customFormat="1" ht="15.75" hidden="1" customHeight="1" x14ac:dyDescent="0.25">
      <c r="A9" s="114"/>
      <c r="B9" s="121"/>
      <c r="C9" s="115"/>
      <c r="D9" s="115"/>
      <c r="E9" s="116"/>
    </row>
    <row r="10" spans="1:5" s="74" customFormat="1" x14ac:dyDescent="0.25">
      <c r="A10" s="75" t="s">
        <v>159</v>
      </c>
      <c r="B10" s="120">
        <f>2264.67+13.8+199.59</f>
        <v>2478.0600000000004</v>
      </c>
      <c r="C10" s="76" t="s">
        <v>200</v>
      </c>
      <c r="D10" s="76"/>
      <c r="E10" s="77" t="s">
        <v>201</v>
      </c>
    </row>
    <row r="11" spans="1:5" s="74" customFormat="1" x14ac:dyDescent="0.25">
      <c r="A11" s="113" t="s">
        <v>202</v>
      </c>
      <c r="B11" s="120">
        <f>41.11+146.05</f>
        <v>187.16000000000003</v>
      </c>
      <c r="C11" s="76" t="s">
        <v>203</v>
      </c>
      <c r="D11" s="76"/>
      <c r="E11" s="77" t="s">
        <v>204</v>
      </c>
    </row>
    <row r="12" spans="1:5" s="74" customFormat="1" x14ac:dyDescent="0.25">
      <c r="A12" s="75" t="s">
        <v>205</v>
      </c>
      <c r="B12" s="120">
        <v>69.989999999999995</v>
      </c>
      <c r="C12" s="76" t="s">
        <v>206</v>
      </c>
      <c r="D12" s="76" t="s">
        <v>207</v>
      </c>
      <c r="E12" s="77"/>
    </row>
    <row r="13" spans="1:5" s="74" customFormat="1" x14ac:dyDescent="0.25"/>
    <row r="14" spans="1:5" s="74" customFormat="1" hidden="1" x14ac:dyDescent="0.25">
      <c r="A14" s="75"/>
      <c r="B14" s="76"/>
      <c r="C14" s="76"/>
      <c r="D14" s="76"/>
      <c r="E14" s="77"/>
    </row>
    <row r="15" spans="1:5" ht="27.75" customHeight="1" x14ac:dyDescent="0.25">
      <c r="A15" s="90" t="s">
        <v>14</v>
      </c>
      <c r="B15" s="91">
        <f>SUM(B9:B14)</f>
        <v>2735.21</v>
      </c>
      <c r="C15" s="92"/>
      <c r="D15" s="93"/>
      <c r="E15" s="94"/>
    </row>
    <row r="16" spans="1:5" ht="14.15" customHeight="1" x14ac:dyDescent="0.25">
      <c r="A16" s="63"/>
      <c r="B16" s="41"/>
      <c r="C16" s="64"/>
      <c r="D16" s="64"/>
      <c r="E16" s="65"/>
    </row>
    <row r="17" spans="1:6" ht="13" x14ac:dyDescent="0.3">
      <c r="A17" s="28" t="s">
        <v>25</v>
      </c>
      <c r="B17" s="52"/>
      <c r="C17" s="52"/>
      <c r="D17" s="52"/>
      <c r="E17" s="54"/>
    </row>
    <row r="18" spans="1:6" x14ac:dyDescent="0.25">
      <c r="A18" s="165" t="s">
        <v>56</v>
      </c>
      <c r="B18" s="143"/>
      <c r="C18" s="143"/>
      <c r="D18" s="52"/>
      <c r="E18" s="54"/>
    </row>
    <row r="19" spans="1:6" ht="14.15" customHeight="1" x14ac:dyDescent="0.25">
      <c r="A19" s="38" t="s">
        <v>20</v>
      </c>
      <c r="B19" s="39"/>
      <c r="C19" s="52"/>
      <c r="D19" s="52"/>
      <c r="E19" s="54"/>
    </row>
    <row r="20" spans="1:6" x14ac:dyDescent="0.25">
      <c r="A20" s="36" t="s">
        <v>33</v>
      </c>
      <c r="B20" s="37"/>
      <c r="C20" s="53"/>
      <c r="D20" s="52"/>
      <c r="E20" s="54"/>
    </row>
    <row r="21" spans="1:6" ht="12.65" customHeight="1" x14ac:dyDescent="0.25">
      <c r="A21" s="179" t="s">
        <v>27</v>
      </c>
      <c r="B21" s="180"/>
      <c r="C21" s="180"/>
      <c r="D21" s="180"/>
      <c r="E21" s="181"/>
      <c r="F21" s="15"/>
    </row>
    <row r="22" spans="1:6" x14ac:dyDescent="0.25">
      <c r="A22" s="36" t="s">
        <v>53</v>
      </c>
      <c r="B22" s="37"/>
      <c r="C22" s="53"/>
      <c r="D22" s="53"/>
      <c r="E22" s="10"/>
      <c r="F22" s="53"/>
    </row>
    <row r="23" spans="1:6" ht="12.75" customHeight="1" x14ac:dyDescent="0.25">
      <c r="A23" s="182" t="s">
        <v>44</v>
      </c>
      <c r="B23" s="183"/>
      <c r="C23" s="56"/>
      <c r="D23" s="56"/>
      <c r="E23" s="57"/>
      <c r="F23" s="56"/>
    </row>
    <row r="24" spans="1:6" x14ac:dyDescent="0.25">
      <c r="A24" s="66"/>
      <c r="B24" s="42"/>
      <c r="C24" s="67"/>
      <c r="D24" s="67"/>
      <c r="E24" s="68"/>
      <c r="F24" s="15"/>
    </row>
    <row r="25" spans="1:6" x14ac:dyDescent="0.25">
      <c r="A25" s="16"/>
      <c r="B25" s="14"/>
      <c r="C25" s="14"/>
      <c r="D25" s="14"/>
      <c r="E25" s="35"/>
      <c r="F25" s="15"/>
    </row>
    <row r="26" spans="1:6" x14ac:dyDescent="0.25">
      <c r="A26" s="16"/>
      <c r="B26" s="14"/>
      <c r="C26" s="14"/>
      <c r="D26" s="14"/>
      <c r="E26" s="35"/>
      <c r="F26" s="15"/>
    </row>
    <row r="27" spans="1:6" x14ac:dyDescent="0.25">
      <c r="A27" s="16"/>
      <c r="B27" s="14"/>
      <c r="C27" s="14"/>
      <c r="D27" s="14"/>
      <c r="E27" s="35"/>
      <c r="F27" s="15"/>
    </row>
    <row r="28" spans="1:6" x14ac:dyDescent="0.25">
      <c r="A28" s="16"/>
      <c r="B28" s="14"/>
      <c r="C28" s="14"/>
      <c r="D28" s="14"/>
      <c r="E28" s="35"/>
      <c r="F28" s="15"/>
    </row>
    <row r="29" spans="1:6" x14ac:dyDescent="0.25">
      <c r="A29" s="35"/>
      <c r="B29" s="35"/>
      <c r="C29" s="35"/>
      <c r="D29" s="35"/>
      <c r="E29" s="35"/>
    </row>
    <row r="30" spans="1:6" x14ac:dyDescent="0.25">
      <c r="A30" s="35"/>
      <c r="B30" s="35"/>
      <c r="C30" s="35"/>
      <c r="D30" s="35"/>
      <c r="E30" s="35"/>
    </row>
  </sheetData>
  <sheetProtection sheet="1" objects="1" scenarios="1" formatCells="0" formatColumns="0" formatRows="0" insertColumns="0" insertRows="0"/>
  <mergeCells count="10">
    <mergeCell ref="A23:B23"/>
    <mergeCell ref="A21:E21"/>
    <mergeCell ref="A1:E1"/>
    <mergeCell ref="A18:C18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 alignWithMargins="0">
    <oddHeader>&amp;C&amp;"Calibri"&amp;10&amp;K000000[IN CONFIDENCE RELEASE EXTERNAL]&amp;1#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Brian Bond</cp:lastModifiedBy>
  <cp:lastPrinted>2018-07-30T09:20:49Z</cp:lastPrinted>
  <dcterms:created xsi:type="dcterms:W3CDTF">2010-10-17T20:59:02Z</dcterms:created>
  <dcterms:modified xsi:type="dcterms:W3CDTF">2021-07-28T00:07:10Z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9a836-ebe9-47d4-a5f2-4f849d9a8815_Enabled">
    <vt:lpwstr>true</vt:lpwstr>
  </property>
  <property fmtid="{D5CDD505-2E9C-101B-9397-08002B2CF9AE}" pid="3" name="MSIP_Label_64f9a836-ebe9-47d4-a5f2-4f849d9a8815_SetDate">
    <vt:lpwstr>2021-07-28T00:06:35Z</vt:lpwstr>
  </property>
  <property fmtid="{D5CDD505-2E9C-101B-9397-08002B2CF9AE}" pid="4" name="MSIP_Label_64f9a836-ebe9-47d4-a5f2-4f849d9a8815_Method">
    <vt:lpwstr>Privileged</vt:lpwstr>
  </property>
  <property fmtid="{D5CDD505-2E9C-101B-9397-08002B2CF9AE}" pid="5" name="MSIP_Label_64f9a836-ebe9-47d4-a5f2-4f849d9a8815_Name">
    <vt:lpwstr>64f9a836-ebe9-47d4-a5f2-4f849d9a8815</vt:lpwstr>
  </property>
  <property fmtid="{D5CDD505-2E9C-101B-9397-08002B2CF9AE}" pid="6" name="MSIP_Label_64f9a836-ebe9-47d4-a5f2-4f849d9a8815_SiteId">
    <vt:lpwstr>fb39e3e9-23a9-404e-93a2-b42a87d94f35</vt:lpwstr>
  </property>
  <property fmtid="{D5CDD505-2E9C-101B-9397-08002B2CF9AE}" pid="7" name="MSIP_Label_64f9a836-ebe9-47d4-a5f2-4f849d9a8815_ActionId">
    <vt:lpwstr>c1967994-52d2-41b5-a7c5-ef60d45421db</vt:lpwstr>
  </property>
  <property fmtid="{D5CDD505-2E9C-101B-9397-08002B2CF9AE}" pid="8" name="MSIP_Label_64f9a836-ebe9-47d4-a5f2-4f849d9a8815_ContentBits">
    <vt:lpwstr>1</vt:lpwstr>
  </property>
</Properties>
</file>